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lukas\OneDrive - Agentur BahnStadt GBR\ISF\___Planungstool (ISF und VBB)\__ARBEITSDATEI VOR VERÖFFENTLICHUNG\"/>
    </mc:Choice>
  </mc:AlternateContent>
  <xr:revisionPtr revIDLastSave="0" documentId="13_ncr:1_{56237612-3E82-4B9E-97AA-62A977DE0DEE}" xr6:coauthVersionLast="47" xr6:coauthVersionMax="47" xr10:uidLastSave="{00000000-0000-0000-0000-000000000000}"/>
  <workbookProtection workbookAlgorithmName="SHA-512" workbookHashValue="GkKwqhzybgRBBYwt8cS8M9enTTc2ZoK4Tk8BhTZVcsoUhiWh8gPXPuv6abU7kNm6uhzVLzLMVEAre5OPbSTDnQ==" workbookSaltValue="/hYoG1JXfNdm+LCeSjKCWA==" workbookSpinCount="100000" lockStructure="1"/>
  <bookViews>
    <workbookView xWindow="-120" yWindow="-120" windowWidth="29040" windowHeight="18720" tabRatio="744" xr2:uid="{6CD61CBB-0F94-4418-8EA8-582862AE32D8}"/>
  </bookViews>
  <sheets>
    <sheet name="Startseite und Basisinfos" sheetId="11" r:id="rId1"/>
    <sheet name="Zählung Bestand" sheetId="13" r:id="rId2"/>
    <sheet name="A ▪ Bestandseingabe" sheetId="1" r:id="rId3"/>
    <sheet name="B ▪ Parametereingabe" sheetId="6" r:id="rId4"/>
    <sheet name="C ▪ Ergebnisjustierung" sheetId="7" r:id="rId5"/>
    <sheet name="D ▪ Kostenanalyse" sheetId="12" r:id="rId6"/>
    <sheet name="E ▪ Projektbeschreibung" sheetId="14" r:id="rId7"/>
    <sheet name="F ▪ Kurzbericht" sheetId="15" r:id="rId8"/>
    <sheet name="intern" sheetId="9" state="hidden" r:id="rId9"/>
  </sheets>
  <definedNames>
    <definedName name="_xlnm.Print_Area" localSheetId="2">'A ▪ Bestandseingabe'!$B$5:$U$104,'A ▪ Bestandseingabe'!$B$106:$U$126</definedName>
    <definedName name="_xlnm.Print_Area" localSheetId="3">'B ▪ Parametereingabe'!$B$5:$U$100</definedName>
    <definedName name="_xlnm.Print_Area" localSheetId="4">'C ▪ Ergebnisjustierung'!$B$5:$U$99,'C ▪ Ergebnisjustierung'!$B$101:$U$172</definedName>
    <definedName name="_xlnm.Print_Area" localSheetId="5">'D ▪ Kostenanalyse'!$B$5:$U$91,'D ▪ Kostenanalyse'!$B$93:$U$124,'D ▪ Kostenanalyse'!$B$126:$U$185</definedName>
    <definedName name="_xlnm.Print_Area" localSheetId="6">'E ▪ Projektbeschreibung'!$C$18:$T$90</definedName>
    <definedName name="_xlnm.Print_Area" localSheetId="7">'F ▪ Kurzbericht'!$C$20:$T$113</definedName>
    <definedName name="_xlnm.Print_Area" localSheetId="8">intern!$A$4</definedName>
    <definedName name="_xlnm.Print_Area" localSheetId="0">'Startseite und Basisinfos'!$B$82:$U$154,'Startseite und Basisinfos'!$B$156:$U$187,'Startseite und Basisinfos'!$B$189:$U$264</definedName>
    <definedName name="_xlnm.Print_Area" localSheetId="1">'Zählung Bestand'!$C$59:$T$104</definedName>
    <definedName name="R_BESTANDSEINGABE">intern!$B$146:$B$148</definedName>
    <definedName name="R_KOSTENANALYSE">intern!$B$184:$B$185</definedName>
    <definedName name="R_TFAUSWAHL">intern!$B$153:$B$156</definedName>
    <definedName name="R_TFAUSWAHL_NUM">intern!$A$153:$A$156</definedName>
    <definedName name="R_UVB">intern!$B$161:$B$163</definedName>
    <definedName name="R_ZUSAMMEN">intern!$B$168:$B$169</definedName>
    <definedName name="TBS_1a">intern!$B$192</definedName>
    <definedName name="TBS_1b">intern!$B$198</definedName>
    <definedName name="TBS_2">intern!$B$204</definedName>
    <definedName name="TBS_3a">intern!$B$209</definedName>
    <definedName name="TBS_3b">intern!$B$217</definedName>
    <definedName name="TBS_3c">intern!$B$225</definedName>
    <definedName name="TBS_3d">intern!$B$233</definedName>
    <definedName name="TBS_4">intern!$C$242</definedName>
    <definedName name="TBS_F11">intern!$F$13</definedName>
    <definedName name="TBS_F12">intern!$F$21</definedName>
    <definedName name="TBS_F13">intern!$F$29</definedName>
    <definedName name="TBS_F14">intern!$F$37</definedName>
    <definedName name="TBS_F21">intern!$L$13</definedName>
    <definedName name="TBS_F22">intern!$L$21</definedName>
    <definedName name="TBS_F23">intern!$L$29</definedName>
    <definedName name="TBS_F24">intern!$L$37</definedName>
    <definedName name="TBS_F3a">intern!$E$51</definedName>
    <definedName name="TBS_F3b">intern!$O$51</definedName>
    <definedName name="TBS_FH">intern!$B$136</definedName>
    <definedName name="TBS_FH_D">intern!$I$136</definedName>
    <definedName name="V_ARBEIT">intern!$U$7</definedName>
    <definedName name="V_FPH">intern!$P$66</definedName>
    <definedName name="V_VER1">intern!$U$5</definedName>
    <definedName name="V_VER2">intern!$U$6</definedName>
    <definedName name="VA_BBGESAMT">intern!$B$172</definedName>
    <definedName name="VA_BESTANDSEINGABE">intern!$B$144</definedName>
    <definedName name="VA_FEHLER_AB">intern!$B$124</definedName>
    <definedName name="VA_FEHLER_C">intern!$B$127</definedName>
    <definedName name="VA_FEHLER_CD">intern!$E$127</definedName>
    <definedName name="VA_FEHLER_D">intern!$E$124</definedName>
    <definedName name="VA_FEHLERMODUL">intern!$B$121</definedName>
    <definedName name="VA_KOSTENANALYSE">intern!$B$181</definedName>
    <definedName name="VA_KOSTENANALYSE_2">'D ▪ Kostenanalyse'!$B$36</definedName>
    <definedName name="VA_TF">intern!$B$114</definedName>
    <definedName name="VA_TFAUSWAHL">intern!$B$151</definedName>
    <definedName name="VA_VERKEHRSSTATION">intern!$B$93</definedName>
    <definedName name="VA_VERLEGUNG_1">intern!$D$51</definedName>
    <definedName name="VA_VERLEGUNG_2">intern!$N$51</definedName>
    <definedName name="VA_ZUGANG_1">intern!$B$96</definedName>
    <definedName name="VA_ZUGANG_2">intern!$B$99</definedName>
    <definedName name="VA_ZUSAMMEN">intern!$B$166</definedName>
    <definedName name="VE_3_UVB">'B ▪ Parametereingabe'!$N$53</definedName>
    <definedName name="VE_5_DIEBSTAHL">'B ▪ Parametereingabe'!$N$90</definedName>
    <definedName name="VE_5_ENTGELTFREI">'B ▪ Parametereingabe'!$N$94</definedName>
    <definedName name="VE_5_ERSTMALIGSICHER">'B ▪ Parametereingabe'!$N$86</definedName>
    <definedName name="VE_5_PENDLER">'B ▪ Parametereingabe'!$N$99</definedName>
    <definedName name="VE_BB_1">'C ▪ Ergebnisjustierung'!$N$96</definedName>
    <definedName name="VE_BB_2">'C ▪ Ergebnisjustierung'!$R$96</definedName>
    <definedName name="VE_BESTANDSEINGABE">'A ▪ Bestandseingabe'!$M$38</definedName>
    <definedName name="VE_KOSTENANALYSE">'D ▪ Kostenanalyse'!$N$34</definedName>
    <definedName name="VE_TFAUSWAHL">'B ▪ Parametereingabe'!$N$23</definedName>
    <definedName name="VE_VERKEHRSSTATION">'A ▪ Bestandseingabe'!$I$26</definedName>
    <definedName name="VE_VERLEGUNG_1">'A ▪ Bestandseingabe'!$J$125</definedName>
    <definedName name="VE_VERLEGUNG_2">'A ▪ Bestandseingabe'!$T$125</definedName>
    <definedName name="VE_ZUGANG_1">'A ▪ Bestandseingabe'!$C$43</definedName>
    <definedName name="VE_ZUGANG_2">'A ▪ Bestandseingabe'!$M$43</definedName>
    <definedName name="VE_ZUSAMMEN">'C ▪ Ergebnisjustierung'!$C$38</definedName>
    <definedName name="VP_0_EAHEUTE">'B ▪ Parametereingabe'!$N$19</definedName>
    <definedName name="VP_1_DBEA2040">'B ▪ Parametereingabe'!$N$27</definedName>
    <definedName name="VP_2_RVEA">'B ▪ Parametereingabe'!$N$35</definedName>
    <definedName name="VP_2_RVJAHR">'B ▪ Parametereingabe'!$N$31</definedName>
    <definedName name="VP_2_RVTF">'B ▪ Parametereingabe'!$N$37</definedName>
    <definedName name="VP_3_BVHEUTE">'B ▪ Parametereingabe'!$N$41</definedName>
    <definedName name="VP_3_BVJAHR">'B ▪ Parametereingabe'!$N$43</definedName>
    <definedName name="VP_3_BVTF">'B ▪ Parametereingabe'!$N$49</definedName>
    <definedName name="VP_3_BVZUKUNFT">'B ▪ Parametereingabe'!$N$47</definedName>
    <definedName name="VP_3_UVB">intern!$B$159</definedName>
    <definedName name="VP_4_METF">'B ▪ Parametereingabe'!$N$58</definedName>
    <definedName name="VP_5_DIEBSTAHL">intern!$B$110</definedName>
    <definedName name="VP_5_ENTGELTFREI">intern!$D$110</definedName>
    <definedName name="VP_5_ERSTMALIGSICHER">intern!$H$110</definedName>
    <definedName name="VP_5_PENDLER">intern!$F$110</definedName>
    <definedName name="VP_5_SICH_BESTAND_VORHANDEN">intern!$G$48</definedName>
    <definedName name="Z_1">intern!$A$3</definedName>
    <definedName name="Z_2">intern!$A$90</definedName>
    <definedName name="Z_3">intern!$A$118</definedName>
    <definedName name="Z_4">intern!$A$141</definedName>
    <definedName name="Z_5">intern!$A$189</definedName>
    <definedName name="Z_6">intern!$A$246</definedName>
    <definedName name="Z_7">intern!$A$324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67" i="15" l="1"/>
  <c r="J67" i="15"/>
  <c r="K38" i="9"/>
  <c r="E38" i="9"/>
  <c r="K30" i="9"/>
  <c r="E30" i="9"/>
  <c r="K22" i="9"/>
  <c r="E22" i="9"/>
  <c r="K14" i="9"/>
  <c r="E14" i="9"/>
  <c r="B212" i="9"/>
  <c r="K337" i="9"/>
  <c r="K336" i="9"/>
  <c r="K335" i="9"/>
  <c r="K334" i="9"/>
  <c r="K332" i="9"/>
  <c r="O241" i="9"/>
  <c r="L241" i="9"/>
  <c r="I241" i="9"/>
  <c r="C241" i="9"/>
  <c r="F241" i="9"/>
  <c r="Q106" i="12"/>
  <c r="S102" i="12"/>
  <c r="W40" i="9" l="1"/>
  <c r="M51" i="15" s="1"/>
  <c r="C242" i="9"/>
  <c r="G28" i="15" s="1"/>
  <c r="M49" i="12"/>
  <c r="S64" i="9" l="1"/>
  <c r="I64" i="9"/>
  <c r="B99" i="9" l="1"/>
  <c r="B96" i="9"/>
  <c r="B93" i="9"/>
  <c r="G24" i="15"/>
  <c r="G26" i="15"/>
  <c r="G22" i="15"/>
  <c r="R67" i="15"/>
  <c r="S67" i="15"/>
  <c r="R72" i="15"/>
  <c r="H72" i="15"/>
  <c r="I67" i="15"/>
  <c r="H67" i="15"/>
  <c r="R79" i="9"/>
  <c r="H79" i="9"/>
  <c r="V74" i="9"/>
  <c r="Y345" i="9" s="1"/>
  <c r="T74" i="9"/>
  <c r="R74" i="9"/>
  <c r="W345" i="9" s="1"/>
  <c r="L74" i="9"/>
  <c r="T345" i="9" s="1"/>
  <c r="J74" i="9"/>
  <c r="H74" i="9"/>
  <c r="R345" i="9" s="1"/>
  <c r="T157" i="7"/>
  <c r="R157" i="7"/>
  <c r="J157" i="7"/>
  <c r="H157" i="7"/>
  <c r="Q74" i="9" l="1"/>
  <c r="X345" i="9"/>
  <c r="P79" i="9"/>
  <c r="W350" i="9"/>
  <c r="N79" i="9"/>
  <c r="R350" i="9"/>
  <c r="O74" i="9"/>
  <c r="S345" i="9"/>
  <c r="N74" i="9"/>
  <c r="P74" i="9"/>
  <c r="U86" i="9"/>
  <c r="K86" i="9"/>
  <c r="T75" i="15"/>
  <c r="Q182" i="12"/>
  <c r="R73" i="15" l="1"/>
  <c r="R71" i="15"/>
  <c r="R70" i="15"/>
  <c r="R69" i="15"/>
  <c r="S68" i="15"/>
  <c r="T66" i="15"/>
  <c r="S66" i="15"/>
  <c r="R66" i="15"/>
  <c r="T65" i="15"/>
  <c r="S65" i="15"/>
  <c r="R65" i="15"/>
  <c r="T64" i="15"/>
  <c r="S64" i="15"/>
  <c r="R64" i="15"/>
  <c r="H73" i="15"/>
  <c r="H71" i="15"/>
  <c r="H70" i="15"/>
  <c r="H69" i="15"/>
  <c r="I68" i="15"/>
  <c r="J66" i="15"/>
  <c r="I66" i="15"/>
  <c r="H66" i="15"/>
  <c r="J65" i="15"/>
  <c r="I65" i="15"/>
  <c r="H65" i="15"/>
  <c r="J64" i="15"/>
  <c r="I64" i="15"/>
  <c r="H64" i="15"/>
  <c r="C90" i="15"/>
  <c r="C88" i="15"/>
  <c r="S39" i="15" l="1"/>
  <c r="S37" i="15"/>
  <c r="M39" i="15"/>
  <c r="S20" i="15"/>
  <c r="U6" i="9" l="1"/>
  <c r="U5" i="9"/>
  <c r="S22" i="15" s="1"/>
  <c r="Q75" i="14"/>
  <c r="I263" i="9" a="1"/>
  <c r="I263" i="9" s="1"/>
  <c r="I270" i="9" a="1"/>
  <c r="I270" i="9" s="1"/>
  <c r="I282" i="9" a="1"/>
  <c r="I282" i="9" s="1"/>
  <c r="I293" i="9" a="1"/>
  <c r="I293" i="9" s="1"/>
  <c r="I277" i="9" a="1"/>
  <c r="I277" i="9" s="1"/>
  <c r="I258" i="9" a="1"/>
  <c r="I258" i="9" s="1"/>
  <c r="I248" i="9" a="1"/>
  <c r="I248" i="9" s="1"/>
  <c r="V73" i="9"/>
  <c r="V72" i="9"/>
  <c r="Y343" i="9" s="1"/>
  <c r="V71" i="9"/>
  <c r="Y342" i="9" s="1"/>
  <c r="T75" i="9"/>
  <c r="T73" i="9"/>
  <c r="T72" i="9"/>
  <c r="T71" i="9"/>
  <c r="R80" i="9"/>
  <c r="W351" i="9" s="1"/>
  <c r="R78" i="9"/>
  <c r="R77" i="9"/>
  <c r="R76" i="9"/>
  <c r="R73" i="9"/>
  <c r="W344" i="9" s="1"/>
  <c r="R72" i="9"/>
  <c r="W343" i="9" s="1"/>
  <c r="R71" i="9"/>
  <c r="W342" i="9" s="1"/>
  <c r="L73" i="9"/>
  <c r="T344" i="9" s="1"/>
  <c r="L72" i="9"/>
  <c r="T343" i="9" s="1"/>
  <c r="L71" i="9"/>
  <c r="T342" i="9" s="1"/>
  <c r="W329" i="9" s="1"/>
  <c r="J75" i="9"/>
  <c r="S346" i="9" s="1"/>
  <c r="J73" i="9"/>
  <c r="J72" i="9"/>
  <c r="J71" i="9"/>
  <c r="H80" i="9"/>
  <c r="R351" i="9" s="1"/>
  <c r="H78" i="9"/>
  <c r="H77" i="9"/>
  <c r="H76" i="9"/>
  <c r="H73" i="9"/>
  <c r="R344" i="9" s="1"/>
  <c r="H72" i="9"/>
  <c r="R343" i="9" s="1"/>
  <c r="H71" i="9"/>
  <c r="R342" i="9" s="1"/>
  <c r="S183" i="12"/>
  <c r="S158" i="12"/>
  <c r="S179" i="12"/>
  <c r="S162" i="12"/>
  <c r="S156" i="12"/>
  <c r="S157" i="12"/>
  <c r="S164" i="12"/>
  <c r="S163" i="12"/>
  <c r="M155" i="12"/>
  <c r="I155" i="12" s="1"/>
  <c r="S146" i="12"/>
  <c r="S145" i="12"/>
  <c r="S144" i="12"/>
  <c r="S143" i="12"/>
  <c r="S138" i="12"/>
  <c r="S137" i="12"/>
  <c r="S120" i="12"/>
  <c r="Q94" i="15" s="1"/>
  <c r="S86" i="12"/>
  <c r="S78" i="12"/>
  <c r="S71" i="12"/>
  <c r="S70" i="12"/>
  <c r="S69" i="12"/>
  <c r="B181" i="9"/>
  <c r="B221" i="9"/>
  <c r="X329" i="9" l="1"/>
  <c r="V327" i="9"/>
  <c r="V329" i="9"/>
  <c r="T329" i="9"/>
  <c r="W327" i="9"/>
  <c r="T328" i="9"/>
  <c r="X328" i="9"/>
  <c r="H326" i="9"/>
  <c r="P73" i="9"/>
  <c r="Y344" i="9"/>
  <c r="P76" i="9"/>
  <c r="W347" i="9"/>
  <c r="P77" i="9"/>
  <c r="W348" i="9"/>
  <c r="P78" i="9"/>
  <c r="W349" i="9"/>
  <c r="Q71" i="9"/>
  <c r="X342" i="9"/>
  <c r="Q72" i="9"/>
  <c r="X343" i="9"/>
  <c r="Q73" i="9"/>
  <c r="X344" i="9"/>
  <c r="U87" i="9"/>
  <c r="X346" i="9"/>
  <c r="N78" i="9"/>
  <c r="R349" i="9"/>
  <c r="N77" i="9"/>
  <c r="R348" i="9"/>
  <c r="N76" i="9"/>
  <c r="R347" i="9"/>
  <c r="O73" i="9"/>
  <c r="S344" i="9"/>
  <c r="O72" i="9"/>
  <c r="S343" i="9"/>
  <c r="O71" i="9"/>
  <c r="S342" i="9"/>
  <c r="O108" i="12"/>
  <c r="S108" i="12" s="1"/>
  <c r="N73" i="9"/>
  <c r="N71" i="9"/>
  <c r="N72" i="9"/>
  <c r="K87" i="9"/>
  <c r="O75" i="9"/>
  <c r="P71" i="9"/>
  <c r="P72" i="9"/>
  <c r="H112" i="15"/>
  <c r="U121" i="9"/>
  <c r="Q75" i="9"/>
  <c r="U84" i="9"/>
  <c r="U85" i="9"/>
  <c r="K85" i="9"/>
  <c r="K84" i="9"/>
  <c r="U83" i="9"/>
  <c r="K83" i="9"/>
  <c r="R122" i="9"/>
  <c r="U122" i="9"/>
  <c r="S122" i="9"/>
  <c r="T122" i="9"/>
  <c r="S166" i="12"/>
  <c r="L103" i="15" s="1"/>
  <c r="K33" i="9"/>
  <c r="L33" i="9"/>
  <c r="M33" i="9"/>
  <c r="N33" i="9"/>
  <c r="O33" i="9"/>
  <c r="K34" i="9"/>
  <c r="L34" i="9"/>
  <c r="M34" i="9"/>
  <c r="N34" i="9"/>
  <c r="O34" i="9"/>
  <c r="K35" i="9"/>
  <c r="L35" i="9"/>
  <c r="M35" i="9"/>
  <c r="N35" i="9"/>
  <c r="O35" i="9"/>
  <c r="K36" i="9"/>
  <c r="L36" i="9"/>
  <c r="M36" i="9"/>
  <c r="N36" i="9"/>
  <c r="O36" i="9"/>
  <c r="J34" i="9"/>
  <c r="J35" i="9"/>
  <c r="J36" i="9"/>
  <c r="J33" i="9"/>
  <c r="K37" i="9"/>
  <c r="J37" i="9"/>
  <c r="K25" i="9"/>
  <c r="L25" i="9"/>
  <c r="M25" i="9"/>
  <c r="N25" i="9"/>
  <c r="O25" i="9"/>
  <c r="K26" i="9"/>
  <c r="L26" i="9"/>
  <c r="M26" i="9"/>
  <c r="N26" i="9"/>
  <c r="O26" i="9"/>
  <c r="K27" i="9"/>
  <c r="L27" i="9"/>
  <c r="M27" i="9"/>
  <c r="N27" i="9"/>
  <c r="O27" i="9"/>
  <c r="K28" i="9"/>
  <c r="L28" i="9"/>
  <c r="M28" i="9"/>
  <c r="N28" i="9"/>
  <c r="O28" i="9"/>
  <c r="J26" i="9"/>
  <c r="J27" i="9"/>
  <c r="J28" i="9"/>
  <c r="J25" i="9"/>
  <c r="K29" i="9"/>
  <c r="J29" i="9"/>
  <c r="J17" i="9"/>
  <c r="K17" i="9"/>
  <c r="L17" i="9"/>
  <c r="M17" i="9"/>
  <c r="N17" i="9"/>
  <c r="O17" i="9"/>
  <c r="J18" i="9"/>
  <c r="K18" i="9"/>
  <c r="L18" i="9"/>
  <c r="M18" i="9"/>
  <c r="N18" i="9"/>
  <c r="O18" i="9"/>
  <c r="J19" i="9"/>
  <c r="K19" i="9"/>
  <c r="L19" i="9"/>
  <c r="M19" i="9"/>
  <c r="N19" i="9"/>
  <c r="O19" i="9"/>
  <c r="J20" i="9"/>
  <c r="K20" i="9"/>
  <c r="L20" i="9"/>
  <c r="M20" i="9"/>
  <c r="N20" i="9"/>
  <c r="O20" i="9"/>
  <c r="K21" i="9"/>
  <c r="J21" i="9"/>
  <c r="K9" i="9"/>
  <c r="L9" i="9"/>
  <c r="M9" i="9"/>
  <c r="N9" i="9"/>
  <c r="O9" i="9"/>
  <c r="K10" i="9"/>
  <c r="L10" i="9"/>
  <c r="M10" i="9"/>
  <c r="N10" i="9"/>
  <c r="O10" i="9"/>
  <c r="K11" i="9"/>
  <c r="L11" i="9"/>
  <c r="M11" i="9"/>
  <c r="N11" i="9"/>
  <c r="O11" i="9"/>
  <c r="K12" i="9"/>
  <c r="L12" i="9"/>
  <c r="M12" i="9"/>
  <c r="N12" i="9"/>
  <c r="O12" i="9"/>
  <c r="J10" i="9"/>
  <c r="J11" i="9"/>
  <c r="J12" i="9"/>
  <c r="J9" i="9"/>
  <c r="K13" i="9"/>
  <c r="J13" i="9"/>
  <c r="E33" i="9"/>
  <c r="F33" i="9"/>
  <c r="G33" i="9"/>
  <c r="H33" i="9"/>
  <c r="I33" i="9"/>
  <c r="E34" i="9"/>
  <c r="F34" i="9"/>
  <c r="G34" i="9"/>
  <c r="H34" i="9"/>
  <c r="I34" i="9"/>
  <c r="E35" i="9"/>
  <c r="F35" i="9"/>
  <c r="G35" i="9"/>
  <c r="H35" i="9"/>
  <c r="I35" i="9"/>
  <c r="E36" i="9"/>
  <c r="F36" i="9"/>
  <c r="G36" i="9"/>
  <c r="H36" i="9"/>
  <c r="I36" i="9"/>
  <c r="D34" i="9"/>
  <c r="D35" i="9"/>
  <c r="D36" i="9"/>
  <c r="D33" i="9"/>
  <c r="E37" i="9"/>
  <c r="D37" i="9"/>
  <c r="E29" i="9"/>
  <c r="D29" i="9"/>
  <c r="E25" i="9"/>
  <c r="F25" i="9"/>
  <c r="G25" i="9"/>
  <c r="H25" i="9"/>
  <c r="I25" i="9"/>
  <c r="E26" i="9"/>
  <c r="F26" i="9"/>
  <c r="G26" i="9"/>
  <c r="H26" i="9"/>
  <c r="I26" i="9"/>
  <c r="E27" i="9"/>
  <c r="F27" i="9"/>
  <c r="G27" i="9"/>
  <c r="H27" i="9"/>
  <c r="I27" i="9"/>
  <c r="E28" i="9"/>
  <c r="F28" i="9"/>
  <c r="G28" i="9"/>
  <c r="H28" i="9"/>
  <c r="I28" i="9"/>
  <c r="D26" i="9"/>
  <c r="D27" i="9"/>
  <c r="D28" i="9"/>
  <c r="D25" i="9"/>
  <c r="E17" i="9"/>
  <c r="F17" i="9"/>
  <c r="G17" i="9"/>
  <c r="H17" i="9"/>
  <c r="I17" i="9"/>
  <c r="E18" i="9"/>
  <c r="F18" i="9"/>
  <c r="G18" i="9"/>
  <c r="H18" i="9"/>
  <c r="I18" i="9"/>
  <c r="E19" i="9"/>
  <c r="F19" i="9"/>
  <c r="G19" i="9"/>
  <c r="H19" i="9"/>
  <c r="I19" i="9"/>
  <c r="E20" i="9"/>
  <c r="F20" i="9"/>
  <c r="G20" i="9"/>
  <c r="H20" i="9"/>
  <c r="I20" i="9"/>
  <c r="D18" i="9"/>
  <c r="D19" i="9"/>
  <c r="D20" i="9"/>
  <c r="E21" i="9"/>
  <c r="D21" i="9"/>
  <c r="D17" i="9"/>
  <c r="E13" i="9"/>
  <c r="D13" i="9"/>
  <c r="D10" i="9"/>
  <c r="E10" i="9"/>
  <c r="F10" i="9"/>
  <c r="G10" i="9"/>
  <c r="H10" i="9"/>
  <c r="I10" i="9"/>
  <c r="D11" i="9"/>
  <c r="E11" i="9"/>
  <c r="F11" i="9"/>
  <c r="G11" i="9"/>
  <c r="H11" i="9"/>
  <c r="I11" i="9"/>
  <c r="D12" i="9"/>
  <c r="E12" i="9"/>
  <c r="F12" i="9"/>
  <c r="G12" i="9"/>
  <c r="H12" i="9"/>
  <c r="I12" i="9"/>
  <c r="E9" i="9"/>
  <c r="F9" i="9"/>
  <c r="G9" i="9"/>
  <c r="H9" i="9"/>
  <c r="I9" i="9"/>
  <c r="D9" i="9"/>
  <c r="B213" i="9"/>
  <c r="B151" i="9"/>
  <c r="I33" i="15" s="1"/>
  <c r="B144" i="9"/>
  <c r="D328" i="9" s="1"/>
  <c r="Z327" i="9" l="1"/>
  <c r="Z329" i="9"/>
  <c r="Y329" i="9"/>
  <c r="I35" i="15"/>
  <c r="U327" i="9"/>
  <c r="U329" i="9"/>
  <c r="AA327" i="9"/>
  <c r="AA329" i="9"/>
  <c r="Y327" i="9"/>
  <c r="U328" i="9"/>
  <c r="T327" i="9"/>
  <c r="Y328" i="9"/>
  <c r="X327" i="9"/>
  <c r="B159" i="9"/>
  <c r="K31" i="15"/>
  <c r="B166" i="9"/>
  <c r="M40" i="9" s="1"/>
  <c r="C51" i="15" s="1"/>
  <c r="B198" i="9"/>
  <c r="B192" i="9"/>
  <c r="K355" i="9" l="1"/>
  <c r="L68" i="12" s="1"/>
  <c r="K342" i="9"/>
  <c r="L55" i="12" s="1"/>
  <c r="S55" i="12" s="1"/>
  <c r="U335" i="9"/>
  <c r="U332" i="9"/>
  <c r="Y335" i="9"/>
  <c r="Y332" i="9"/>
  <c r="K349" i="9"/>
  <c r="L62" i="12" s="1"/>
  <c r="S62" i="12" s="1"/>
  <c r="K343" i="9"/>
  <c r="L56" i="12" s="1"/>
  <c r="S56" i="12" s="1"/>
  <c r="P31" i="15"/>
  <c r="D326" i="9"/>
  <c r="W67" i="9"/>
  <c r="S157" i="7"/>
  <c r="U67" i="9" s="1"/>
  <c r="S67" i="9"/>
  <c r="I157" i="7"/>
  <c r="K67" i="9" s="1"/>
  <c r="I67" i="9"/>
  <c r="S68" i="12" l="1"/>
  <c r="M136" i="12"/>
  <c r="S136" i="12" s="1"/>
  <c r="K353" i="9"/>
  <c r="L66" i="12" s="1"/>
  <c r="S66" i="12" s="1"/>
  <c r="K344" i="9"/>
  <c r="L57" i="12" s="1"/>
  <c r="S57" i="12" s="1"/>
  <c r="K345" i="9"/>
  <c r="L58" i="12" s="1"/>
  <c r="S58" i="12" s="1"/>
  <c r="V61" i="9"/>
  <c r="T61" i="9"/>
  <c r="L61" i="9"/>
  <c r="J61" i="9"/>
  <c r="M129" i="12" l="1"/>
  <c r="S129" i="12" s="1"/>
  <c r="J62" i="9"/>
  <c r="D52" i="9"/>
  <c r="V106" i="9" l="1"/>
  <c r="V107" i="9" s="1"/>
  <c r="F114" i="9" s="1"/>
  <c r="R106" i="9"/>
  <c r="P106" i="9"/>
  <c r="N106" i="9"/>
  <c r="B237" i="9" s="1"/>
  <c r="L106" i="9"/>
  <c r="L107" i="9" s="1"/>
  <c r="F106" i="9"/>
  <c r="B236" i="9" s="1"/>
  <c r="J106" i="9"/>
  <c r="H106" i="9"/>
  <c r="B233" i="9" l="1"/>
  <c r="P107" i="9"/>
  <c r="H107" i="9"/>
  <c r="N107" i="9"/>
  <c r="F107" i="9"/>
  <c r="D106" i="9"/>
  <c r="D107" i="9" s="1"/>
  <c r="B106" i="9"/>
  <c r="M67" i="9"/>
  <c r="R94" i="7"/>
  <c r="S58" i="15" s="1"/>
  <c r="B211" i="9"/>
  <c r="B214" i="9"/>
  <c r="F110" i="9"/>
  <c r="C91" i="7" s="1"/>
  <c r="D110" i="9"/>
  <c r="C89" i="7" s="1"/>
  <c r="B110" i="9"/>
  <c r="C87" i="7" s="1"/>
  <c r="S138" i="7" l="1"/>
  <c r="B209" i="9"/>
  <c r="E114" i="9"/>
  <c r="B107" i="9"/>
  <c r="D114" i="9" s="1"/>
  <c r="M123" i="9"/>
  <c r="L123" i="9"/>
  <c r="K123" i="9"/>
  <c r="M118" i="1"/>
  <c r="M132" i="7" l="1"/>
  <c r="S37" i="7"/>
  <c r="M8" i="7"/>
  <c r="M43" i="15" s="1"/>
  <c r="C114" i="9"/>
  <c r="G20" i="15"/>
  <c r="O38" i="7" l="1"/>
  <c r="B205" i="9"/>
  <c r="C35" i="7"/>
  <c r="C17" i="6"/>
  <c r="N52" i="9"/>
  <c r="J52" i="9" s="1"/>
  <c r="J38" i="9" l="1"/>
  <c r="W46" i="9" s="1"/>
  <c r="S26" i="7" s="1"/>
  <c r="J30" i="9"/>
  <c r="W45" i="9" s="1"/>
  <c r="S23" i="7" s="1"/>
  <c r="J22" i="9"/>
  <c r="W44" i="9" s="1"/>
  <c r="S19" i="7" s="1"/>
  <c r="J14" i="9"/>
  <c r="W43" i="9" s="1"/>
  <c r="S14" i="7" s="1"/>
  <c r="D38" i="9"/>
  <c r="D30" i="9"/>
  <c r="D22" i="9"/>
  <c r="D14" i="9"/>
  <c r="T37" i="9"/>
  <c r="Q37" i="9"/>
  <c r="Q29" i="9"/>
  <c r="Q13" i="9"/>
  <c r="T33" i="9"/>
  <c r="U43" i="9" l="1"/>
  <c r="S13" i="7" s="1"/>
  <c r="U44" i="9"/>
  <c r="S18" i="7" s="1"/>
  <c r="U45" i="9"/>
  <c r="S22" i="7" s="1"/>
  <c r="R43" i="9"/>
  <c r="S11" i="7" s="1"/>
  <c r="R44" i="9"/>
  <c r="S16" i="7" s="1"/>
  <c r="R45" i="9"/>
  <c r="S21" i="7" s="1"/>
  <c r="Q21" i="9"/>
  <c r="S31" i="7"/>
  <c r="S49" i="15" s="1"/>
  <c r="T46" i="9"/>
  <c r="R25" i="7" s="1"/>
  <c r="U46" i="9"/>
  <c r="S25" i="7" s="1"/>
  <c r="W47" i="9"/>
  <c r="N44" i="9"/>
  <c r="R17" i="7" s="1"/>
  <c r="O43" i="9"/>
  <c r="S12" i="7" s="1"/>
  <c r="O44" i="9"/>
  <c r="S17" i="7" s="1"/>
  <c r="N43" i="9"/>
  <c r="R12" i="7" s="1"/>
  <c r="T12" i="9"/>
  <c r="V12" i="9"/>
  <c r="U11" i="9"/>
  <c r="U10" i="9"/>
  <c r="V11" i="9"/>
  <c r="T10" i="9"/>
  <c r="V10" i="9"/>
  <c r="T11" i="9"/>
  <c r="U9" i="9"/>
  <c r="V9" i="9"/>
  <c r="U12" i="9"/>
  <c r="S33" i="9"/>
  <c r="R33" i="9"/>
  <c r="R34" i="9"/>
  <c r="T34" i="9"/>
  <c r="V36" i="9"/>
  <c r="U34" i="9"/>
  <c r="V34" i="9"/>
  <c r="T35" i="9"/>
  <c r="U33" i="9"/>
  <c r="V35" i="9"/>
  <c r="U35" i="9"/>
  <c r="V33" i="9"/>
  <c r="T36" i="9"/>
  <c r="U36" i="9"/>
  <c r="Q36" i="9"/>
  <c r="R36" i="9"/>
  <c r="Q35" i="9"/>
  <c r="S36" i="9"/>
  <c r="R35" i="9"/>
  <c r="Q34" i="9"/>
  <c r="S35" i="9"/>
  <c r="S34" i="9"/>
  <c r="U27" i="9"/>
  <c r="V27" i="9"/>
  <c r="U25" i="9"/>
  <c r="T28" i="9"/>
  <c r="V25" i="9"/>
  <c r="U28" i="9"/>
  <c r="T26" i="9"/>
  <c r="V28" i="9"/>
  <c r="U26" i="9"/>
  <c r="V26" i="9"/>
  <c r="T27" i="9"/>
  <c r="Q26" i="9"/>
  <c r="R26" i="9"/>
  <c r="R25" i="9"/>
  <c r="S25" i="9"/>
  <c r="Q28" i="9"/>
  <c r="R28" i="9"/>
  <c r="Q27" i="9"/>
  <c r="S28" i="9"/>
  <c r="R27" i="9"/>
  <c r="S27" i="9"/>
  <c r="S26" i="9"/>
  <c r="S19" i="9"/>
  <c r="Q18" i="9"/>
  <c r="S18" i="9"/>
  <c r="Q19" i="9"/>
  <c r="R17" i="9"/>
  <c r="Q20" i="9"/>
  <c r="S17" i="9"/>
  <c r="S20" i="9"/>
  <c r="R20" i="9"/>
  <c r="R18" i="9"/>
  <c r="R19" i="9"/>
  <c r="V17" i="9"/>
  <c r="T20" i="9"/>
  <c r="U20" i="9"/>
  <c r="T19" i="9"/>
  <c r="V20" i="9"/>
  <c r="T18" i="9"/>
  <c r="U17" i="9"/>
  <c r="U19" i="9"/>
  <c r="V19" i="9"/>
  <c r="U18" i="9"/>
  <c r="V18" i="9"/>
  <c r="R10" i="9"/>
  <c r="Q12" i="9"/>
  <c r="Q11" i="9"/>
  <c r="S11" i="9"/>
  <c r="S9" i="9"/>
  <c r="S12" i="9"/>
  <c r="Q10" i="9"/>
  <c r="S10" i="9"/>
  <c r="R9" i="9"/>
  <c r="R12" i="9"/>
  <c r="R11" i="9"/>
  <c r="C118" i="1"/>
  <c r="C132" i="7" l="1"/>
  <c r="T9" i="9"/>
  <c r="T43" i="9"/>
  <c r="T17" i="9"/>
  <c r="T44" i="9"/>
  <c r="R18" i="7" s="1"/>
  <c r="T25" i="9"/>
  <c r="T45" i="9"/>
  <c r="T13" i="9"/>
  <c r="Q43" i="9"/>
  <c r="R11" i="7" s="1"/>
  <c r="T21" i="9"/>
  <c r="Q44" i="9"/>
  <c r="R16" i="7" s="1"/>
  <c r="T29" i="9"/>
  <c r="Q45" i="9"/>
  <c r="Q33" i="9"/>
  <c r="F37" i="9" s="1"/>
  <c r="Q25" i="9"/>
  <c r="F29" i="9" s="1"/>
  <c r="Q17" i="9"/>
  <c r="F21" i="9" s="1"/>
  <c r="Q9" i="9"/>
  <c r="C37" i="7"/>
  <c r="M122" i="9"/>
  <c r="M124" i="9" s="1"/>
  <c r="K122" i="9"/>
  <c r="K124" i="9" s="1"/>
  <c r="L122" i="9"/>
  <c r="L124" i="9" s="1"/>
  <c r="S27" i="7"/>
  <c r="T17" i="7"/>
  <c r="D41" i="1"/>
  <c r="P44" i="9"/>
  <c r="U47" i="9"/>
  <c r="V46" i="9"/>
  <c r="P43" i="9"/>
  <c r="N47" i="9"/>
  <c r="L37" i="9"/>
  <c r="R47" i="9"/>
  <c r="O47" i="9"/>
  <c r="N41" i="1"/>
  <c r="O91" i="1" l="1"/>
  <c r="E91" i="1"/>
  <c r="E76" i="1"/>
  <c r="E61" i="1"/>
  <c r="C8" i="7"/>
  <c r="C43" i="15" s="1"/>
  <c r="L21" i="9"/>
  <c r="S45" i="9"/>
  <c r="R21" i="7"/>
  <c r="V43" i="9"/>
  <c r="R13" i="7"/>
  <c r="V45" i="9"/>
  <c r="R22" i="7"/>
  <c r="W48" i="9"/>
  <c r="G45" i="9"/>
  <c r="H21" i="7" s="1"/>
  <c r="N94" i="7"/>
  <c r="I58" i="15" s="1"/>
  <c r="K46" i="9"/>
  <c r="I25" i="7" s="1"/>
  <c r="M46" i="9"/>
  <c r="I26" i="7" s="1"/>
  <c r="D44" i="9"/>
  <c r="H17" i="7" s="1"/>
  <c r="T62" i="9"/>
  <c r="O121" i="9" s="1"/>
  <c r="E43" i="9"/>
  <c r="I12" i="7" s="1"/>
  <c r="H45" i="9"/>
  <c r="I21" i="7" s="1"/>
  <c r="J45" i="9"/>
  <c r="H22" i="7" s="1"/>
  <c r="K44" i="9"/>
  <c r="I18" i="7" s="1"/>
  <c r="M43" i="9"/>
  <c r="I14" i="7" s="1"/>
  <c r="M44" i="9"/>
  <c r="I19" i="7" s="1"/>
  <c r="H44" i="9"/>
  <c r="I16" i="7" s="1"/>
  <c r="J46" i="9"/>
  <c r="H25" i="7" s="1"/>
  <c r="H43" i="9"/>
  <c r="I11" i="7" s="1"/>
  <c r="D43" i="9"/>
  <c r="H12" i="7" s="1"/>
  <c r="G44" i="9"/>
  <c r="H16" i="7" s="1"/>
  <c r="K45" i="9"/>
  <c r="I22" i="7" s="1"/>
  <c r="K43" i="9"/>
  <c r="I13" i="7" s="1"/>
  <c r="M45" i="9"/>
  <c r="I23" i="7" s="1"/>
  <c r="E44" i="9"/>
  <c r="I17" i="7" s="1"/>
  <c r="J44" i="9"/>
  <c r="H18" i="7" s="1"/>
  <c r="L29" i="9"/>
  <c r="V44" i="9"/>
  <c r="S43" i="9"/>
  <c r="G43" i="9"/>
  <c r="H11" i="7" s="1"/>
  <c r="J43" i="9"/>
  <c r="H13" i="7" s="1"/>
  <c r="Q47" i="9"/>
  <c r="N51" i="9" s="1"/>
  <c r="M120" i="1" s="1"/>
  <c r="L13" i="9"/>
  <c r="O46" i="1" s="1"/>
  <c r="T11" i="7"/>
  <c r="T47" i="9"/>
  <c r="T56" i="9" s="1"/>
  <c r="S44" i="9"/>
  <c r="U56" i="9"/>
  <c r="U57" i="9" s="1"/>
  <c r="R42" i="7" s="1"/>
  <c r="R39" i="9"/>
  <c r="K121" i="9" s="1"/>
  <c r="F13" i="9"/>
  <c r="E46" i="1" s="1"/>
  <c r="B121" i="9"/>
  <c r="R27" i="7"/>
  <c r="R29" i="7"/>
  <c r="R47" i="15" s="1"/>
  <c r="S29" i="7"/>
  <c r="S47" i="15" s="1"/>
  <c r="T12" i="7"/>
  <c r="T18" i="7"/>
  <c r="O56" i="9"/>
  <c r="P47" i="9"/>
  <c r="U124" i="9" l="1"/>
  <c r="T22" i="7"/>
  <c r="T13" i="7"/>
  <c r="I138" i="7"/>
  <c r="T27" i="7"/>
  <c r="O76" i="1"/>
  <c r="O61" i="1"/>
  <c r="U48" i="9"/>
  <c r="S124" i="9"/>
  <c r="T124" i="9"/>
  <c r="R124" i="9"/>
  <c r="T48" i="9"/>
  <c r="H47" i="9"/>
  <c r="J21" i="7"/>
  <c r="H27" i="7"/>
  <c r="J17" i="7"/>
  <c r="I44" i="9"/>
  <c r="D47" i="9"/>
  <c r="J18" i="7"/>
  <c r="F44" i="9"/>
  <c r="K47" i="9"/>
  <c r="L45" i="9"/>
  <c r="I45" i="9"/>
  <c r="E47" i="9"/>
  <c r="L44" i="9"/>
  <c r="J22" i="7"/>
  <c r="L43" i="9"/>
  <c r="L46" i="9"/>
  <c r="F43" i="9"/>
  <c r="I31" i="7"/>
  <c r="I49" i="15" s="1"/>
  <c r="J16" i="7"/>
  <c r="M47" i="9"/>
  <c r="Q124" i="9"/>
  <c r="T21" i="7"/>
  <c r="R24" i="7"/>
  <c r="S24" i="7"/>
  <c r="S20" i="7"/>
  <c r="J47" i="9"/>
  <c r="J56" i="9" s="1"/>
  <c r="S47" i="9"/>
  <c r="N56" i="9"/>
  <c r="R74" i="7" s="1"/>
  <c r="I43" i="9"/>
  <c r="G47" i="9"/>
  <c r="G48" i="9" s="1"/>
  <c r="M37" i="15" s="1"/>
  <c r="S30" i="7"/>
  <c r="S48" i="15" s="1"/>
  <c r="S28" i="7"/>
  <c r="S46" i="15" s="1"/>
  <c r="S15" i="7"/>
  <c r="V47" i="9"/>
  <c r="V56" i="9"/>
  <c r="N124" i="9"/>
  <c r="O51" i="9"/>
  <c r="M126" i="1" s="1"/>
  <c r="T126" i="1"/>
  <c r="T25" i="7"/>
  <c r="T29" i="7"/>
  <c r="T47" i="15" s="1"/>
  <c r="R20" i="7"/>
  <c r="R28" i="7"/>
  <c r="R46" i="15" s="1"/>
  <c r="T16" i="7"/>
  <c r="R30" i="7"/>
  <c r="R48" i="15" s="1"/>
  <c r="R15" i="7"/>
  <c r="K48" i="9" l="1"/>
  <c r="J48" i="9"/>
  <c r="S79" i="15" s="1"/>
  <c r="M48" i="9"/>
  <c r="S77" i="15" s="1"/>
  <c r="I29" i="7"/>
  <c r="I47" i="15" s="1"/>
  <c r="I27" i="7"/>
  <c r="F47" i="9"/>
  <c r="K56" i="9"/>
  <c r="K57" i="9" s="1"/>
  <c r="N42" i="7" s="1"/>
  <c r="H24" i="7"/>
  <c r="I24" i="7"/>
  <c r="E56" i="9"/>
  <c r="I20" i="7"/>
  <c r="H20" i="7"/>
  <c r="H29" i="7"/>
  <c r="H47" i="15" s="1"/>
  <c r="T24" i="7"/>
  <c r="O57" i="9"/>
  <c r="R44" i="7" s="1"/>
  <c r="O58" i="9"/>
  <c r="R54" i="7" s="1"/>
  <c r="T20" i="7"/>
  <c r="T30" i="7"/>
  <c r="T48" i="15" s="1"/>
  <c r="L47" i="9"/>
  <c r="P56" i="9"/>
  <c r="J13" i="7"/>
  <c r="I30" i="7"/>
  <c r="I48" i="15" s="1"/>
  <c r="I15" i="7"/>
  <c r="S32" i="7"/>
  <c r="S50" i="15" s="1"/>
  <c r="D56" i="9"/>
  <c r="I47" i="9"/>
  <c r="H110" i="9"/>
  <c r="C79" i="7" s="1"/>
  <c r="D51" i="9"/>
  <c r="T28" i="7"/>
  <c r="T46" i="15" s="1"/>
  <c r="I28" i="7"/>
  <c r="I46" i="15" s="1"/>
  <c r="T15" i="7"/>
  <c r="J25" i="7"/>
  <c r="H30" i="7"/>
  <c r="H48" i="15" s="1"/>
  <c r="R32" i="7"/>
  <c r="R50" i="15" s="1"/>
  <c r="J27" i="7" l="1"/>
  <c r="R46" i="7"/>
  <c r="J29" i="7"/>
  <c r="J47" i="15" s="1"/>
  <c r="L56" i="9"/>
  <c r="J20" i="7"/>
  <c r="J24" i="7"/>
  <c r="J12" i="7"/>
  <c r="I32" i="7"/>
  <c r="I50" i="15" s="1"/>
  <c r="J30" i="7"/>
  <c r="J48" i="15" s="1"/>
  <c r="E51" i="9"/>
  <c r="C126" i="1" s="1"/>
  <c r="W52" i="9"/>
  <c r="L121" i="9" s="1"/>
  <c r="K125" i="9" s="1"/>
  <c r="K127" i="9" s="1"/>
  <c r="C120" i="1"/>
  <c r="J126" i="1"/>
  <c r="N74" i="7"/>
  <c r="E58" i="9"/>
  <c r="N54" i="7" s="1"/>
  <c r="E57" i="9"/>
  <c r="N44" i="7" s="1"/>
  <c r="F56" i="9"/>
  <c r="T32" i="7"/>
  <c r="T50" i="15" s="1"/>
  <c r="J11" i="7"/>
  <c r="H28" i="7"/>
  <c r="H46" i="15" s="1"/>
  <c r="H15" i="7"/>
  <c r="K62" i="7"/>
  <c r="C60" i="7"/>
  <c r="A114" i="9"/>
  <c r="B114" i="9" s="1"/>
  <c r="S33" i="15" s="1"/>
  <c r="C68" i="7"/>
  <c r="J28" i="7" l="1"/>
  <c r="J46" i="15" s="1"/>
  <c r="N46" i="7"/>
  <c r="R49" i="7"/>
  <c r="J15" i="7"/>
  <c r="M66" i="7"/>
  <c r="Q66" i="7"/>
  <c r="C224" i="9"/>
  <c r="H32" i="7"/>
  <c r="H50" i="15" s="1"/>
  <c r="M121" i="9"/>
  <c r="M125" i="9" s="1"/>
  <c r="M127" i="9" s="1"/>
  <c r="B217" i="9"/>
  <c r="C62" i="7" s="1"/>
  <c r="T106" i="9"/>
  <c r="K60" i="7"/>
  <c r="R51" i="7" l="1"/>
  <c r="N49" i="7"/>
  <c r="J32" i="7"/>
  <c r="J50" i="15" s="1"/>
  <c r="B124" i="9"/>
  <c r="B229" i="9"/>
  <c r="B230" i="9"/>
  <c r="B228" i="9"/>
  <c r="B227" i="9"/>
  <c r="N51" i="7" l="1"/>
  <c r="R56" i="7"/>
  <c r="U125" i="9"/>
  <c r="S125" i="9"/>
  <c r="T125" i="9"/>
  <c r="R125" i="9"/>
  <c r="B225" i="9"/>
  <c r="C66" i="7" s="1"/>
  <c r="N125" i="9"/>
  <c r="Q125" i="9"/>
  <c r="B204" i="9"/>
  <c r="R64" i="7" l="1"/>
  <c r="N56" i="7"/>
  <c r="C6" i="7"/>
  <c r="N64" i="7" l="1"/>
  <c r="R66" i="7"/>
  <c r="R68" i="7" l="1"/>
  <c r="N66" i="7"/>
  <c r="N68" i="7" l="1"/>
  <c r="R72" i="7"/>
  <c r="N72" i="7" l="1"/>
  <c r="N76" i="7" s="1"/>
  <c r="R76" i="7"/>
  <c r="N83" i="7" l="1"/>
  <c r="R83" i="7"/>
  <c r="R89" i="7" s="1"/>
  <c r="N91" i="7" l="1"/>
  <c r="N87" i="7"/>
  <c r="N89" i="7"/>
  <c r="R91" i="7"/>
  <c r="R87" i="7"/>
  <c r="N98" i="7" l="1"/>
  <c r="N96" i="7"/>
  <c r="I54" i="15" s="1"/>
  <c r="R96" i="7"/>
  <c r="S54" i="15" s="1"/>
  <c r="R98" i="7"/>
  <c r="S56" i="15" l="1"/>
  <c r="I136" i="7"/>
  <c r="F61" i="9" s="1"/>
  <c r="I56" i="15"/>
  <c r="I134" i="7"/>
  <c r="I142" i="7" s="1"/>
  <c r="B174" i="9"/>
  <c r="S134" i="7"/>
  <c r="S142" i="7" s="1"/>
  <c r="B175" i="9"/>
  <c r="S136" i="7"/>
  <c r="P61" i="9" l="1"/>
  <c r="I143" i="7"/>
  <c r="S143" i="7"/>
  <c r="B173" i="9"/>
  <c r="S81" i="15" s="1"/>
  <c r="K64" i="9" l="1"/>
  <c r="O77" i="9" s="1"/>
  <c r="G142" i="7"/>
  <c r="Q142" i="7"/>
  <c r="U64" i="9"/>
  <c r="Q77" i="9" s="1"/>
  <c r="Z342" i="9" s="1"/>
  <c r="B176" i="9"/>
  <c r="B172" i="9" s="1"/>
  <c r="R1" i="15" s="1"/>
  <c r="J156" i="7"/>
  <c r="T156" i="7"/>
  <c r="T158" i="7" s="1"/>
  <c r="AA330" i="9" l="1"/>
  <c r="AA337" i="9" s="1"/>
  <c r="N80" i="9"/>
  <c r="U342" i="9"/>
  <c r="W330" i="9" s="1"/>
  <c r="W337" i="9" s="1"/>
  <c r="Q64" i="9"/>
  <c r="W64" i="9" s="1"/>
  <c r="M150" i="7" s="1"/>
  <c r="Q143" i="7"/>
  <c r="R61" i="9" s="1"/>
  <c r="P62" i="9" s="1"/>
  <c r="G64" i="9"/>
  <c r="M64" i="9" s="1"/>
  <c r="C150" i="7" s="1"/>
  <c r="G143" i="7"/>
  <c r="H61" i="9" s="1"/>
  <c r="F62" i="9" s="1"/>
  <c r="O80" i="9"/>
  <c r="I69" i="15" s="1"/>
  <c r="Q80" i="9"/>
  <c r="S69" i="15" s="1"/>
  <c r="P80" i="9"/>
  <c r="O142" i="7"/>
  <c r="O144" i="7" s="1"/>
  <c r="S156" i="7"/>
  <c r="T67" i="9" s="1"/>
  <c r="U68" i="9" s="1"/>
  <c r="R1" i="12"/>
  <c r="R1" i="6"/>
  <c r="R1" i="13"/>
  <c r="R1" i="1"/>
  <c r="R1" i="14"/>
  <c r="R1" i="11"/>
  <c r="R1" i="7"/>
  <c r="V67" i="9"/>
  <c r="V68" i="9" s="1"/>
  <c r="J158" i="7"/>
  <c r="L67" i="9"/>
  <c r="E142" i="7"/>
  <c r="I156" i="7"/>
  <c r="K354" i="9" l="1"/>
  <c r="L67" i="12" s="1"/>
  <c r="S67" i="12" s="1"/>
  <c r="N121" i="9"/>
  <c r="S144" i="7"/>
  <c r="S158" i="7"/>
  <c r="T68" i="9"/>
  <c r="Q144" i="7"/>
  <c r="R156" i="7"/>
  <c r="R158" i="7" s="1"/>
  <c r="W68" i="9"/>
  <c r="M68" i="9"/>
  <c r="L68" i="9"/>
  <c r="I158" i="7"/>
  <c r="J67" i="9"/>
  <c r="E144" i="7"/>
  <c r="H156" i="7"/>
  <c r="G144" i="7"/>
  <c r="I144" i="7"/>
  <c r="R67" i="9" l="1"/>
  <c r="R68" i="9" s="1"/>
  <c r="H158" i="7"/>
  <c r="H67" i="9"/>
  <c r="K68" i="9"/>
  <c r="J68" i="9"/>
  <c r="S68" i="9" l="1"/>
  <c r="H68" i="9"/>
  <c r="P121" i="9" s="1"/>
  <c r="N126" i="9" s="1"/>
  <c r="N127" i="9" s="1"/>
  <c r="I68" i="9"/>
  <c r="Q121" i="9" l="1"/>
  <c r="Q126" i="9" s="1"/>
  <c r="E127" i="9" s="1"/>
  <c r="B127" i="9"/>
  <c r="N46" i="12" l="1"/>
  <c r="N49" i="12" s="1"/>
  <c r="K100" i="12" s="1"/>
  <c r="O100" i="12" s="1"/>
  <c r="S100" i="12" s="1"/>
  <c r="N48" i="12"/>
  <c r="K99" i="12" s="1"/>
  <c r="O99" i="12" s="1"/>
  <c r="S99" i="12" s="1"/>
  <c r="N50" i="12"/>
  <c r="K101" i="12" s="1"/>
  <c r="O101" i="12" s="1"/>
  <c r="S101" i="12" s="1"/>
  <c r="Q73" i="14"/>
  <c r="Q74" i="14"/>
  <c r="N45" i="12"/>
  <c r="S45" i="12" s="1"/>
  <c r="Q70" i="14"/>
  <c r="N42" i="12"/>
  <c r="B36" i="12"/>
  <c r="C36" i="12" s="1"/>
  <c r="N69" i="14"/>
  <c r="D174" i="7"/>
  <c r="Q71" i="14"/>
  <c r="N43" i="12"/>
  <c r="N44" i="12"/>
  <c r="S44" i="12" s="1"/>
  <c r="Q72" i="14"/>
  <c r="U126" i="9"/>
  <c r="K98" i="12" l="1"/>
  <c r="O98" i="12" s="1"/>
  <c r="S98" i="12" s="1"/>
  <c r="D51" i="12"/>
  <c r="S42" i="12"/>
  <c r="S46" i="12"/>
  <c r="M47" i="12"/>
  <c r="S43" i="12"/>
  <c r="O104" i="12" l="1"/>
  <c r="S104" i="12" s="1"/>
  <c r="O106" i="12" s="1"/>
  <c r="S106" i="12" s="1"/>
  <c r="R121" i="9"/>
  <c r="R126" i="9" s="1"/>
  <c r="S47" i="12"/>
  <c r="M142" i="12" s="1"/>
  <c r="S142" i="12" s="1"/>
  <c r="S147" i="12" s="1"/>
  <c r="R189" i="12"/>
  <c r="P54" i="14"/>
  <c r="K69" i="14"/>
  <c r="Q69" i="14" s="1"/>
  <c r="S110" i="12" l="1"/>
  <c r="K88" i="15" s="1"/>
  <c r="S75" i="12"/>
  <c r="S90" i="12" s="1"/>
  <c r="S76" i="12" l="1"/>
  <c r="N94" i="12"/>
  <c r="S77" i="12"/>
  <c r="S79" i="12" l="1"/>
  <c r="M80" i="12" s="1"/>
  <c r="S80" i="12" s="1"/>
  <c r="S84" i="12" l="1"/>
  <c r="S85" i="12" l="1"/>
  <c r="S88" i="12" s="1"/>
  <c r="M110" i="12" s="1"/>
  <c r="K86" i="15" l="1"/>
  <c r="P94" i="15" s="1"/>
  <c r="M112" i="12" l="1"/>
  <c r="S112" i="12" s="1"/>
  <c r="S89" i="12"/>
  <c r="Q86" i="15" s="1"/>
  <c r="S115" i="12" l="1"/>
  <c r="R115" i="12" s="1"/>
  <c r="S121" i="9"/>
  <c r="S126" i="9" s="1"/>
  <c r="K90" i="15" l="1"/>
  <c r="N88" i="15" s="1"/>
  <c r="Q88" i="15" l="1"/>
  <c r="S119" i="12"/>
  <c r="Q92" i="15" s="1"/>
  <c r="Q119" i="12" l="1"/>
  <c r="T121" i="9"/>
  <c r="T126" i="9" s="1"/>
  <c r="E124" i="9" s="1"/>
  <c r="B17" i="15" s="1"/>
  <c r="S121" i="12"/>
  <c r="Q96" i="15" s="1"/>
  <c r="P96" i="15" s="1"/>
  <c r="R127" i="9" l="1"/>
  <c r="K128" i="9" s="1"/>
  <c r="B137" i="9" s="1"/>
  <c r="B136" i="9" s="1"/>
  <c r="Q121" i="12"/>
  <c r="M131" i="12"/>
  <c r="S131" i="12" s="1"/>
  <c r="M130" i="12"/>
  <c r="S130" i="12" s="1"/>
  <c r="S123" i="12"/>
  <c r="S132" i="12" l="1"/>
  <c r="S149" i="12" s="1"/>
  <c r="S171" i="12" s="1"/>
  <c r="R191" i="12" s="1"/>
  <c r="P35" i="14"/>
  <c r="Q98" i="15"/>
  <c r="S180" i="12" l="1"/>
  <c r="S181" i="12" s="1"/>
  <c r="G108" i="15"/>
  <c r="R183" i="12"/>
  <c r="S184" i="12"/>
  <c r="R112" i="15" s="1"/>
  <c r="C1" i="15"/>
  <c r="C1" i="1"/>
  <c r="C1" i="14"/>
  <c r="C1" i="11"/>
  <c r="C1" i="6"/>
  <c r="C1" i="13"/>
  <c r="C1" i="7"/>
  <c r="C1" i="12"/>
  <c r="P49" i="14"/>
  <c r="G103" i="15"/>
  <c r="Q101" i="15" s="1"/>
  <c r="R166" i="12"/>
  <c r="S172" i="12" l="1"/>
  <c r="L108" i="15" s="1"/>
  <c r="S173" i="12" l="1"/>
  <c r="Q108" i="1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<sst xmlns="http://schemas.openxmlformats.org/spreadsheetml/2006/main" count="1994" uniqueCount="961">
  <si>
    <t>Wildparker</t>
  </si>
  <si>
    <t>optimal</t>
  </si>
  <si>
    <t>nicht-optimal</t>
  </si>
  <si>
    <t>freistehend</t>
  </si>
  <si>
    <t>Vorderradhalter</t>
  </si>
  <si>
    <t>Anlehnbügel</t>
  </si>
  <si>
    <t>Doppelstockparker</t>
  </si>
  <si>
    <t>überdacht…</t>
  </si>
  <si>
    <t>Anzahl</t>
  </si>
  <si>
    <t>INTERN - nicht ändern, nicht löschen</t>
  </si>
  <si>
    <t>Ausbaureserve</t>
  </si>
  <si>
    <t>%</t>
  </si>
  <si>
    <t>Trendfaktor</t>
  </si>
  <si>
    <t>Entfernung</t>
  </si>
  <si>
    <t>Variable Textbausteine (TBS)</t>
  </si>
  <si>
    <t>Fahrradparkhaus</t>
  </si>
  <si>
    <t>Manuelle Eingabe</t>
  </si>
  <si>
    <t>Bestand und Auslastung</t>
  </si>
  <si>
    <t>Beispiel</t>
  </si>
  <si>
    <t>Räder</t>
  </si>
  <si>
    <t>Anzahl Stellplätze</t>
  </si>
  <si>
    <t>Typ Fahrradparker</t>
  </si>
  <si>
    <t>Verlegung optimaler Stellplätze</t>
  </si>
  <si>
    <t>R_BESTANDSEINGABE</t>
  </si>
  <si>
    <t>Bitte klicken und auswählen…</t>
  </si>
  <si>
    <t>VA_BESTANDSEINGABE</t>
  </si>
  <si>
    <t>Optionen für die Drop-Down-Felder inkl. Ausgangsvariablen bei jeweiliger Auswahl</t>
  </si>
  <si>
    <t>↓</t>
  </si>
  <si>
    <t>Bitte beide Spalten ausfüllen.</t>
  </si>
  <si>
    <t/>
  </si>
  <si>
    <t>TBS_1a</t>
  </si>
  <si>
    <t>TBS_1b</t>
  </si>
  <si>
    <t>Bitte diese Spalte ausfüllen.</t>
  </si>
  <si>
    <t>→</t>
  </si>
  <si>
    <t>↑</t>
  </si>
  <si>
    <t>Stellplätze</t>
  </si>
  <si>
    <t>Fehler</t>
  </si>
  <si>
    <t>Codierung:</t>
  </si>
  <si>
    <t>Auslastung</t>
  </si>
  <si>
    <t>Wildp.</t>
  </si>
  <si>
    <t>Summe</t>
  </si>
  <si>
    <t>bis 20 m</t>
  </si>
  <si>
    <t>20-50 m</t>
  </si>
  <si>
    <t>50-100 m</t>
  </si>
  <si>
    <t>über 100 m</t>
  </si>
  <si>
    <t>Anz. Räder:</t>
  </si>
  <si>
    <t>Unterscheidung nach Bahnhofsseiten</t>
  </si>
  <si>
    <t>Hinweise zur Bestandseingabe</t>
  </si>
  <si>
    <t>Wenn ja, bitte Anzahl der Stellplätze eingeben:</t>
  </si>
  <si>
    <t>Maximal möglich:</t>
  </si>
  <si>
    <t>VA_VERKEHRSSTATION</t>
  </si>
  <si>
    <t>VA_ZUGANG_1</t>
  </si>
  <si>
    <t>VA_ZUGANG_2</t>
  </si>
  <si>
    <t>Möglich</t>
  </si>
  <si>
    <t>Benutzereingabe</t>
  </si>
  <si>
    <t>Reisendenverkehrsprognose 2040 der DB AG</t>
  </si>
  <si>
    <t>Wie viele Ein- und Aussteiger gibt es heute?</t>
  </si>
  <si>
    <t>Wie viele Ein- und Aussteiger werden im Jahr 2040 von der DB AG erwartet?</t>
  </si>
  <si>
    <t>Bitte eine der beiden Optionen eingeben:</t>
  </si>
  <si>
    <t xml:space="preserve">  ▪   Wie hoch ist die prozentuale Veränderung der Ein- und Aussteiger von heute zum Prognosejahr?</t>
  </si>
  <si>
    <t>Kommunale Bevölkerungsprognose</t>
  </si>
  <si>
    <t>Für welches Jahr gibt es eine Bevölkerungsprognose?</t>
  </si>
  <si>
    <t>Der Trendfaktor ist die prognostizierte Änderung der Reisendenzahlen zu einem bestimmten Jahr an einem Bahnhof und fließt als Prozentwert in die Bedarfsberechnung ein.</t>
  </si>
  <si>
    <r>
      <t xml:space="preserve">  ▪   </t>
    </r>
    <r>
      <rPr>
        <b/>
        <sz val="11"/>
        <color theme="7"/>
        <rFont val="Calibri"/>
        <family val="2"/>
        <scheme val="minor"/>
      </rPr>
      <t>Grün hinterlegte Felder</t>
    </r>
    <r>
      <rPr>
        <sz val="11"/>
        <color theme="1"/>
        <rFont val="Calibri"/>
        <family val="2"/>
        <scheme val="minor"/>
      </rPr>
      <t xml:space="preserve"> können Sie beschreiben/überschreiben/ausfüllen.</t>
    </r>
  </si>
  <si>
    <r>
      <t xml:space="preserve">  ▪   </t>
    </r>
    <r>
      <rPr>
        <b/>
        <sz val="11"/>
        <color theme="8"/>
        <rFont val="Calibri"/>
        <family val="2"/>
        <scheme val="minor"/>
      </rPr>
      <t>Blau hinterlegte Felder</t>
    </r>
    <r>
      <rPr>
        <sz val="11"/>
        <color theme="1"/>
        <rFont val="Calibri"/>
        <family val="2"/>
        <scheme val="minor"/>
      </rPr>
      <t xml:space="preserve"> erfordern eine Auswahl aus der Auswahlliste.</t>
    </r>
  </si>
  <si>
    <t>Rückbau und Neuerrichtung optimaler Stellplätze</t>
  </si>
  <si>
    <t>Ist es angedacht, eine bestimmte Anzahl dieser Stellplätze rückzubauen und baugleich</t>
  </si>
  <si>
    <t>←</t>
  </si>
  <si>
    <t>Schwerpunkt Diebstahl und/oder Vandalismus</t>
  </si>
  <si>
    <t>Erwartete Änderung der Reisendenzahlen im Vergleich zu heute in Prozent:</t>
  </si>
  <si>
    <t>← bitte ausfüllen</t>
  </si>
  <si>
    <t>← nur eine Eingabe möglich</t>
  </si>
  <si>
    <t>VA_TFAUSWAHL</t>
  </si>
  <si>
    <t>R_TFAUSWAHL</t>
  </si>
  <si>
    <t>(bitte Feld anklicken und ggf. Auswahl ändern)</t>
  </si>
  <si>
    <t>VP_0_EAHEUTE</t>
  </si>
  <si>
    <t>VP_1_DBEA2040</t>
  </si>
  <si>
    <t>VP_3_BVHEUTE</t>
  </si>
  <si>
    <t>VP_3_BVJAHR</t>
  </si>
  <si>
    <t>VP_3_BVZUKUNFT</t>
  </si>
  <si>
    <t>VP_3_BVTF</t>
  </si>
  <si>
    <t>VP_3_UVB</t>
  </si>
  <si>
    <t>gleichbleibend</t>
  </si>
  <si>
    <t>moderat ansteigend</t>
  </si>
  <si>
    <t>stark ansteigend</t>
  </si>
  <si>
    <t>R_UVB</t>
  </si>
  <si>
    <t>VP_4_METF</t>
  </si>
  <si>
    <t>VP_5_DIEBSTAHL</t>
  </si>
  <si>
    <t>VP_5_ENTGELTFREI</t>
  </si>
  <si>
    <t>VP_5_PENDLER</t>
  </si>
  <si>
    <t>F:</t>
  </si>
  <si>
    <t>VA_TF</t>
  </si>
  <si>
    <t>P_1</t>
  </si>
  <si>
    <t>P_2</t>
  </si>
  <si>
    <t>P_3</t>
  </si>
  <si>
    <t>P_4</t>
  </si>
  <si>
    <t>IST-Potenzial</t>
  </si>
  <si>
    <t>für IST-Potenzial</t>
  </si>
  <si>
    <t>für IST-Bedarf</t>
  </si>
  <si>
    <t>abgestellte Räder</t>
  </si>
  <si>
    <t>nicht-optimal + Wildparker</t>
  </si>
  <si>
    <t>TBS_2</t>
  </si>
  <si>
    <t>20 bis 50 m</t>
  </si>
  <si>
    <t>50 bis 100 m</t>
  </si>
  <si>
    <t>Gesamt</t>
  </si>
  <si>
    <t>---</t>
  </si>
  <si>
    <t>+</t>
  </si>
  <si>
    <t>=</t>
  </si>
  <si>
    <t>Ausgangswert für die Berechnung der Ausbaureserve</t>
  </si>
  <si>
    <t>beide Standorte separat betrachten</t>
  </si>
  <si>
    <t>IST-Bedarf (Übertrag von oben)</t>
  </si>
  <si>
    <t>Abzug bereits bestehender optimaler Stellplätze</t>
  </si>
  <si>
    <t>−</t>
  </si>
  <si>
    <t>Ausgangswert für die Ermittlung des Baubedarfs</t>
  </si>
  <si>
    <t>Baubedarf</t>
  </si>
  <si>
    <t>Baubedarf gesamt</t>
  </si>
  <si>
    <t>Ermittelter Baubedarf gesamt</t>
  </si>
  <si>
    <t xml:space="preserve">  ▪   davon Neuerrichtung rückgebauter optimaler Stellplätze</t>
  </si>
  <si>
    <t>Sammelschließanlage</t>
  </si>
  <si>
    <t>Sammel-
schließanlage</t>
  </si>
  <si>
    <t xml:space="preserve">Doppelstockparker </t>
  </si>
  <si>
    <t>Anzahl der unten verteilten Stellplätze:</t>
  </si>
  <si>
    <t>Verkehrsstation, Zugänge und Trendfaktor</t>
  </si>
  <si>
    <t>Fehlermanagement</t>
  </si>
  <si>
    <t>TBS_3a</t>
  </si>
  <si>
    <t>TBS_3b</t>
  </si>
  <si>
    <t>TBS_3c</t>
  </si>
  <si>
    <t>TBS_3d</t>
  </si>
  <si>
    <t>Trendfaktor ermittelt durch: keine Auswahl</t>
  </si>
  <si>
    <t>RECHENWERTE</t>
  </si>
  <si>
    <t>FEHLER-FELDER</t>
  </si>
  <si>
    <t>Hinzurechnen der Ausbaureserve (+ 40 % von Ausgangswert)</t>
  </si>
  <si>
    <t>noch zu verteilen:</t>
  </si>
  <si>
    <t>Anzahl der verteilbaren Stellplätze:</t>
  </si>
  <si>
    <t>VA_ZUSAMMEN</t>
  </si>
  <si>
    <t>R_ZUSAMMEN</t>
  </si>
  <si>
    <t>beide Standorte gemeinsam betrachten</t>
  </si>
  <si>
    <t xml:space="preserve">  ▪   Wenn Sie differenzieren, erhalten Sie in Teil C die Möglichkeit einer Auswertung je Bahnhofsseite; Sie können dann aber auch die Daten für eine Gesamtbetrachtung zusammenschalten.</t>
  </si>
  <si>
    <t>Bitte Eingabe prüfen. Rot = Zahl zu hoch. Ggf. Wildparker?</t>
  </si>
  <si>
    <t>an anderer Stelle wieder zu errichten (wird in der Baubedarfsermittlung berücksichtigt)?</t>
  </si>
  <si>
    <t>Name des Bahnhofs / Haltepunkts:</t>
  </si>
  <si>
    <t>Bahnhof / Haltepunkt</t>
  </si>
  <si>
    <t>Bitte Bahnhof / Haltepunkt benennen.</t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</si>
  <si>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bis 20 m</t>
    </r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</si>
  <si>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20 bis 50 m</t>
    </r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</si>
  <si>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50 bis 100 m</t>
    </r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</si>
  <si>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über 100 m</t>
    </r>
  </si>
  <si>
    <t>Ist es angedacht, eine bestimmte Anzahl dieser Stellplätze zurückzubauen und baugleich</t>
  </si>
  <si>
    <t>← bitte Feld anklicken und aus Drop-Down-Menü wählen</t>
  </si>
  <si>
    <t>Hoher Einpendleranteil</t>
  </si>
  <si>
    <t>Neuerrichtung optimaler Stellplätze nach vorherigem Rückbau (wenn in Teil A angegeben)</t>
  </si>
  <si>
    <t>Überdachte Abstellanlage</t>
  </si>
  <si>
    <t>Umrüstung bei bestehender Überdachung</t>
  </si>
  <si>
    <t>Errichtung inklusive Überdachung</t>
  </si>
  <si>
    <t>←  Anzahl Stellplätze</t>
  </si>
  <si>
    <t>Wie schätzen Sie ein, wird sich der Anteil des Umweltverbundes (Modal-Split) in Zukunft ändern?</t>
  </si>
  <si>
    <t>Anteil Umweltverbund (nur bei Bevölkerungsprognose relevant)</t>
  </si>
  <si>
    <t>Benötigte zusätzliche Stellplätze aufgrund Trendfaktor</t>
  </si>
  <si>
    <t>Für welches Jahr gibt es eine Trendprognose?</t>
  </si>
  <si>
    <t>Ausgabe Fehler je Trendszenario</t>
  </si>
  <si>
    <t>Fehler A1</t>
  </si>
  <si>
    <t>Fehler A2</t>
  </si>
  <si>
    <t>TBS_F11 bis TBS_F24</t>
  </si>
  <si>
    <t>Bitte Eingabe prüfen. Rot = Zahl zu hoch.</t>
  </si>
  <si>
    <t>TBS_F3x</t>
  </si>
  <si>
    <t>VA_FEHLERMODUL</t>
  </si>
  <si>
    <t>Fehler Modul</t>
  </si>
  <si>
    <t>Auswahl BE</t>
  </si>
  <si>
    <t>Auswahl TF</t>
  </si>
  <si>
    <t>A1</t>
  </si>
  <si>
    <t>A2</t>
  </si>
  <si>
    <t>B1</t>
  </si>
  <si>
    <t>C1</t>
  </si>
  <si>
    <t>C2</t>
  </si>
  <si>
    <t>TBS_FH</t>
  </si>
  <si>
    <t>Textbaustein</t>
  </si>
  <si>
    <t>Fehlertext</t>
  </si>
  <si>
    <t>!</t>
  </si>
  <si>
    <t>Fehlerszenarien</t>
  </si>
  <si>
    <t>← wenn es sich um eine Pflichteingabe handelt, sehen Sie einen Hinweis in rot</t>
  </si>
  <si>
    <t>VP_2_RVJAHR</t>
  </si>
  <si>
    <t>VP_2_RVEA</t>
  </si>
  <si>
    <t>VP_2_RVTF</t>
  </si>
  <si>
    <t>VA_BBGESAMT</t>
  </si>
  <si>
    <t>BB1</t>
  </si>
  <si>
    <t>BB2</t>
  </si>
  <si>
    <t>es fehlen noch Daten</t>
  </si>
  <si>
    <t>bitte Daten prüfen</t>
  </si>
  <si>
    <t>Zusammenfassung und Berechnung können nicht angezeigt werden. Bitte prüfen Sie Ihre Eingaben.</t>
  </si>
  <si>
    <t>VA_FEHLER_AB</t>
  </si>
  <si>
    <t>VA_FEHLER_C</t>
  </si>
  <si>
    <t>C3</t>
  </si>
  <si>
    <t>C4</t>
  </si>
  <si>
    <t>Fehler AB</t>
  </si>
  <si>
    <t>IST-Bedarf optimaler Stellplätze</t>
  </si>
  <si>
    <t>Gesamtbedarf optimaler Stellplätze</t>
  </si>
  <si>
    <t>Gesamtbedarf optimaler Stellplätze bis 2040</t>
  </si>
  <si>
    <t>Gesamtbedarf optimaler Stellplätze (Übertrag von oben)</t>
  </si>
  <si>
    <t>Bei Zusammenschaltung:</t>
  </si>
  <si>
    <r>
      <t xml:space="preserve">Handelt es sich beim Bahnhof / Haltepunkt um einem </t>
    </r>
    <r>
      <rPr>
        <u/>
        <sz val="11"/>
        <color theme="1"/>
        <rFont val="Calibri"/>
        <family val="2"/>
        <scheme val="minor"/>
      </rPr>
      <t>Schwerpunkt</t>
    </r>
    <r>
      <rPr>
        <sz val="11"/>
        <color theme="1"/>
        <rFont val="Calibri"/>
        <family val="2"/>
        <scheme val="minor"/>
      </rPr>
      <t xml:space="preserve"> für Diebstahl und/oder Vandalismus?</t>
    </r>
  </si>
  <si>
    <t>Gibt es in der Kommune / am Bahnhof / am Haltepunkt eine hohe Zahl von</t>
  </si>
  <si>
    <t>Einpendlern (Zugankunft morgens), so dass eine sichere Nachtabstellung für Fahrräder benötigt wird?</t>
  </si>
  <si>
    <r>
      <t xml:space="preserve">Soll am Bahnhof / Haltepunkt </t>
    </r>
    <r>
      <rPr>
        <u/>
        <sz val="11"/>
        <color theme="1"/>
        <rFont val="Calibri"/>
        <family val="2"/>
        <scheme val="minor"/>
      </rPr>
      <t>erstmalig</t>
    </r>
    <r>
      <rPr>
        <sz val="11"/>
        <color theme="1"/>
        <rFont val="Calibri"/>
        <family val="2"/>
        <scheme val="minor"/>
      </rPr>
      <t xml:space="preserve"> die Möglichkeit für</t>
    </r>
  </si>
  <si>
    <t>sicheres Abstellen von Fahrrädern ermöglicht werden (Sammelschließanlage)?</t>
  </si>
  <si>
    <t>Erstmalig sicher</t>
  </si>
  <si>
    <t>VP_5_ERSTMALIGSICHER</t>
  </si>
  <si>
    <t>Radboxen</t>
  </si>
  <si>
    <t>erstmalig errichtet werden soll, können Sie dies unten angeben. Es wird dann, ausgehend vom in Teil A eingetragenen Bestand abgestellter Räder, eine Mindestanzahl sicherer Stellplätze ermittelt:</t>
  </si>
  <si>
    <t>Schema Bahnhofsseiten, Zugänge und Entfernungen</t>
  </si>
  <si>
    <t>Bau- und Abstelltypen sowie Bewertungskategorien</t>
  </si>
  <si>
    <t>Schema der Bestandsermittlung</t>
  </si>
  <si>
    <t>VP_5_SICH_BESTAND_VORHANDEN</t>
  </si>
  <si>
    <t>Prognosewerte Reisende / Bevölkerung</t>
  </si>
  <si>
    <t>Zeige gesperrte Zellen</t>
  </si>
  <si>
    <t>CELL("protect";A1)=0</t>
  </si>
  <si>
    <t>Fehlermeldungen und Verbesserungsvorschläge</t>
  </si>
  <si>
    <t>Fahrrad-
parkhaus</t>
  </si>
  <si>
    <t>Zuordnung zu Bautypen</t>
  </si>
  <si>
    <t>verteilt</t>
  </si>
  <si>
    <t>Prozente1</t>
  </si>
  <si>
    <t>Prozente2</t>
  </si>
  <si>
    <t>Mindestbedarf</t>
  </si>
  <si>
    <t>Werte</t>
  </si>
  <si>
    <t>Fehler C1 / C2</t>
  </si>
  <si>
    <t>Summe max. 100</t>
  </si>
  <si>
    <t>Mindestbedarf unterschritten!</t>
  </si>
  <si>
    <t>Anteil *</t>
  </si>
  <si>
    <t>* in begründeten Einzelfällen, z.B. Auflage Denkmalamt o.ä.</t>
  </si>
  <si>
    <t>Fahrradboxen</t>
  </si>
  <si>
    <r>
      <rPr>
        <b/>
        <sz val="14"/>
        <color theme="7" tint="-0.249977111117893"/>
        <rFont val="Calibri"/>
        <family val="2"/>
        <scheme val="minor"/>
      </rPr>
      <t>1.</t>
    </r>
    <r>
      <rPr>
        <b/>
        <sz val="11"/>
        <color theme="7" tint="-0.249977111117893"/>
        <rFont val="Calibri"/>
        <family val="2"/>
        <scheme val="minor"/>
      </rPr>
      <t xml:space="preserve"> Zuordnung des Bedarfs zu Bautypen</t>
    </r>
  </si>
  <si>
    <t>Überdacht</t>
  </si>
  <si>
    <t>SSA</t>
  </si>
  <si>
    <t>FPH</t>
  </si>
  <si>
    <t>SOLL / IST</t>
  </si>
  <si>
    <t>Fehler C3 (zu hoch) / C4 (zu niedrig)</t>
  </si>
  <si>
    <t>Fehler C1 (Mindestbadarf) / C2 (Prozente)</t>
  </si>
  <si>
    <t>für Kostenermittlung</t>
  </si>
  <si>
    <t>VA_FEHLER_CD</t>
  </si>
  <si>
    <r>
      <t xml:space="preserve">Manuelle Eingabe Anteil (in Prozent):
</t>
    </r>
    <r>
      <rPr>
        <i/>
        <sz val="10"/>
        <color theme="7" tint="-0.249977111117893"/>
        <rFont val="Calibri"/>
        <family val="2"/>
        <scheme val="minor"/>
      </rPr>
      <t>(überdachte Abstellanlage automatisch)</t>
    </r>
  </si>
  <si>
    <t>Abstelltyp</t>
  </si>
  <si>
    <t>Bautyp</t>
  </si>
  <si>
    <t>Auswahl nicht möglich, da ein Bestand an optimalen, sicheren Abstellplätzen
vorhanden ist. Anteil kann ggf. in Teil C angepasst/erhöht werden.</t>
  </si>
  <si>
    <t>Abgestellte Fahrräder in nicht-optimalen Radabstellanlagen und Wildparker</t>
  </si>
  <si>
    <t>Hinzurechnen abgestellter Fahrräder in optimalen Radabstellanlagen, deren Auslastung unter 80 % beträgt</t>
  </si>
  <si>
    <t xml:space="preserve">  ▪   bei zu niedrigem Baubedarf: Erhöhung auf 24 zu errichtende Stellplätze</t>
  </si>
  <si>
    <t>"alle Räder":</t>
  </si>
  <si>
    <t>"alle Stellpl.":</t>
  </si>
  <si>
    <t>"Modal-Split"</t>
  </si>
  <si>
    <t>* zukünftiges Fahrgastaufkommen = aktuelles Fahrgastaufkommen x Trendfaktor (bei Bevölkerungsprognose mit Berücksichtigung Anteil Umweltverbund)</t>
  </si>
  <si>
    <t>Bewertung der Stellplätze</t>
  </si>
  <si>
    <t>Abgestellte Fahrräder in optimalen Radabstellanlagen, deren Auslastung über 80 % beträgt</t>
  </si>
  <si>
    <t>Bei Umsetzung des ermittelten Baubedarfs und voller Auslastung würde der Vor- und Nachlaufanteil B+R am zukünftigen Fahrgastaufkommen* betragen:</t>
  </si>
  <si>
    <t xml:space="preserve">  ▪   Weitere Informationen und Erläuterungen zu den einzugebenden Daten und wählbaren Parameter finden Sie während Ihrer Eingabe in den jeweiligen Abschnitten.</t>
  </si>
  <si>
    <t>Navigation (oben)</t>
  </si>
  <si>
    <r>
      <t xml:space="preserve">  ▪   </t>
    </r>
    <r>
      <rPr>
        <b/>
        <sz val="11"/>
        <color theme="9"/>
        <rFont val="Calibri"/>
        <family val="2"/>
        <scheme val="minor"/>
      </rPr>
      <t>Rot hinterlegte Felder</t>
    </r>
    <r>
      <rPr>
        <sz val="11"/>
        <color theme="1"/>
        <rFont val="Calibri"/>
        <family val="2"/>
        <scheme val="minor"/>
      </rPr>
      <t xml:space="preserve"> weisen auf Fehler in der Eingabe hin.</t>
    </r>
  </si>
  <si>
    <t>← bei Fehlern erscheint zusätzlich ein roter Hinweis in der Kopfzeile</t>
  </si>
  <si>
    <t>Bitte geben Sie unten Ihren Bestand an Radabstellanlagen und abgestellten Rädern am Bahnhof / Haltepunkt ein.</t>
  </si>
  <si>
    <t xml:space="preserve">  ▪   Sie können Ihre erhobenen Daten für den gesamten Bahnhof / Haltepunkt eingeben.</t>
  </si>
  <si>
    <t xml:space="preserve">  ▪   Für eine genauere Auswertung haben Sie die Möglichkeit, Ihre Bestandsdaten für bis zu zwei Bahnhofsseiten zu differenzieren (optional).</t>
  </si>
  <si>
    <t xml:space="preserve">       eine detaillierte Beschreibung der Bau- und Abstelltypen inkl. Begriffsdefinition, Erläuterungen zum räumlichen Standort von Radabstellanlagen am Bahnhof (Entfernung zu den Zugängen)</t>
  </si>
  <si>
    <t xml:space="preserve">       sowie eine grafische Darstellung der gesamten Eingabe-, Bewertungs- und Berechnungssystematik der Teile A bis C dieser Datei.</t>
  </si>
  <si>
    <t xml:space="preserve">  ▪   In Teil A geben Sie – nach vorheriger Zählung vor Ort – Ihren Bestand an Radabstellanlagen und abgestellten Rädern am Bahnhof / Haltepunkt ein.</t>
  </si>
  <si>
    <t xml:space="preserve">  ▪   In Teil B definieren Sie verschiedene Parameter für den Bahnhof / Haltepunkt, z.B. die prognostizierte Änderung der Reisenden- oder Bevölkerungszahlen.</t>
  </si>
  <si>
    <t>Mindestanforderungen, Versionsnummer und Aktualisierung</t>
  </si>
  <si>
    <t>Erläuterungsgrafiken und Begriffsdefinitionen</t>
  </si>
  <si>
    <t>Ihre Bestandsaufnahme sowie Dateneingabe sollte erfolgen:</t>
  </si>
  <si>
    <t xml:space="preserve">  ▪   als auch differenziert nach den Entfernungen und ggf. Bahnhofsseiten (Erläuterung dazu siehe Grafik weiter unten auf dieser Seite).</t>
  </si>
  <si>
    <t xml:space="preserve">  ▪   Maßgeblich für den Abstand ist der kürzeste Weg zwischen Radabstellanlage und dem nächstgelegenen Zugang zu den Bahngleisen bzw. Zugang in das Bahnhofsgebäude.</t>
  </si>
  <si>
    <t>Abstand einer Radabstellanlage zum Zugang</t>
  </si>
  <si>
    <t>Bitte erheben Sie Ihre Daten differenziert nach der (kürzesten) Entfernung zwischen Radabstellanlagen / abgestellter Räder und nächstem Bahnhofszugang bzw. Zugang zu den Bahnsteigen.</t>
  </si>
  <si>
    <t>Optional können Sie Ihre Bestandsaufnahme auch für zwei verschiedene Bahnhofsseiten differenzieren (die Daten können später in der Auswertung zusammengeschaltet werden).</t>
  </si>
  <si>
    <t xml:space="preserve">  ▪   Wir empfehlen, sich vorab mit den verwendeten Begrifflichkeiten (z.B. was sind "optimale" bzw. "nicht-optimale" Stellplätze) auseinanderzusetzen. Hierzu finden Sie weiter unten auf dieser Seite</t>
  </si>
  <si>
    <t>Radverkehrsanteil am Bahnhof / Haltepunkt</t>
  </si>
  <si>
    <t xml:space="preserve">An einigen Bahnhöfen / Haltepunkten kann es vorkommen, dass im Zuge von z.B. Baumaßnahmen auf dem Bahnhofsvorplatz einzelne Stellplätze oder auch eine komplette Radabstellanlage </t>
  </si>
  <si>
    <t xml:space="preserve">unten in diesem Abschnitt die Anzahl an (optimalen) Stellplätzen angeben, die rückgebaut und später wiedererrichtet werden sollen. </t>
  </si>
  <si>
    <t>Es gibt vier Entfernungs-Kategorien:  •  bis 20 m  •  20 bis 50 m  •  50 bis 100 m  •  über 100 m.</t>
  </si>
  <si>
    <t xml:space="preserve">  ▪   Die Eingabe unten erfolgt gestaffelt nach Entfernungen der Abstellanlagen / abgestellten Räder vom nächstgelegenen Zugang:  •  bis 20 m  •  20 bis 50 m  •  50 bis 100 m  •  über 100 m.</t>
  </si>
  <si>
    <t>Wie hoch ist die Einwohnerzahl heute?</t>
  </si>
  <si>
    <t xml:space="preserve">  ▪   Wie hoch ist die prognostizierte Einwohnerzahl im Prognosejahr?</t>
  </si>
  <si>
    <t xml:space="preserve">  ▪   Wie hoch ist die prozentuale Veränderung der Einwohnerzahl von heute zum Prognosejahr?</t>
  </si>
  <si>
    <r>
      <t xml:space="preserve">       Nutzungsanstieg erwartet. Sie können unten angeben, ob es sich beim Bahnhof / Haltpunkt um einen </t>
    </r>
    <r>
      <rPr>
        <u/>
        <sz val="11"/>
        <color theme="1"/>
        <rFont val="Calibri"/>
        <family val="2"/>
        <scheme val="minor"/>
      </rPr>
      <t>Schwerpunkt</t>
    </r>
    <r>
      <rPr>
        <sz val="11"/>
        <color theme="1"/>
        <rFont val="Calibri"/>
        <family val="2"/>
        <scheme val="minor"/>
      </rPr>
      <t xml:space="preserve"> in Hinblick auf Diebstahl und/oder Vandalismus handelt. In einem solchen Fall </t>
    </r>
  </si>
  <si>
    <t xml:space="preserve">  ▪   Durch Diebstahl und Vandalismus kann die Akzeptanz einer Anlage stark gemindert werden und nach der Modernisierung einer Abstellanlage mit Angebot von sicheren Stellplätzen wird ein</t>
  </si>
  <si>
    <t>Bezeichnung Bahnhofsseite</t>
  </si>
  <si>
    <t>Bitte Bahnhofsseite bezeichnen.</t>
  </si>
  <si>
    <t>Da diese optimalen Stellplätze ja wiedererrichtet werden sollen, werden sie in der folgenden Bedarfsermittlung nicht als zusätzlicher "Bedarf an optimalen Stellplätzen" behandelt.</t>
  </si>
  <si>
    <t xml:space="preserve">  ▪   Wie hoch ist die prognostizierte Zahl der Ein- und Aussteiger im Prognosejahr?</t>
  </si>
  <si>
    <t xml:space="preserve"> </t>
  </si>
  <si>
    <t>Radabstellplätzen zu den jeweiligen Kategorien ist abhängig vom Abstell- und Bautyp sowie der Entfernung der Stellplätze zum Bahnhofs- bzw. Gleiszugang.</t>
  </si>
  <si>
    <r>
      <t xml:space="preserve">  ▪   </t>
    </r>
    <r>
      <rPr>
        <b/>
        <sz val="11"/>
        <color theme="1"/>
        <rFont val="Calibri"/>
        <family val="2"/>
        <scheme val="minor"/>
      </rPr>
      <t>Kommunale Bevölkerungsprognose</t>
    </r>
    <r>
      <rPr>
        <sz val="11"/>
        <color theme="1"/>
        <rFont val="Calibri"/>
        <family val="2"/>
        <scheme val="minor"/>
      </rPr>
      <t xml:space="preserve">   (inkl. der Möglichkeit, hiermit kombiniert eine Erhöhung beim Anteil des Umweltverbundes anzugeben)   </t>
    </r>
    <r>
      <rPr>
        <i/>
        <u/>
        <sz val="11"/>
        <color theme="1"/>
        <rFont val="Calibri"/>
        <family val="2"/>
        <scheme val="minor"/>
      </rPr>
      <t>oder</t>
    </r>
  </si>
  <si>
    <t>lukas.benda@bahnstadt.de</t>
  </si>
  <si>
    <t xml:space="preserve">  ▪   In Teil C wird Ihnen das Berechnungsergebnis angezeigt und Sie können den ermittelten Baubedarf auf verschiedene Bau- und Abstelltypen für die Kostenanalyse verteilen.</t>
  </si>
  <si>
    <t xml:space="preserve">  ▪   Wenn Sie eine Kostenanalyse mit eigenen Bedarfsdaten durchführen möchten, springen Sie bitte direkt zu Teil D und wählen die entsprechende Option aus dem Drop-Down-Menü.</t>
  </si>
  <si>
    <t>Sie werden jedoch zur ermittelten Anzahl an zu bauenden Stellplätzen addiert, so dass Sie die Neuerrichtung dieser (rückgebauten) Stellplätze in der Kostenanalyse berücksichtigen können.</t>
  </si>
  <si>
    <t>Justierung des Baubedarfs für die Kostenanalyse</t>
  </si>
  <si>
    <t xml:space="preserve">Möchten Sie die Daten aus Teil C in die Kostenanalyse einsetzen oder Ihre eigenen Daten eingeben? </t>
  </si>
  <si>
    <t>Nachrüstung Überdachung ohne Abstelltypwechsel**</t>
  </si>
  <si>
    <t>** der Sonderfall Nachrüstung einer Umzäunung/Sicherung für eine</t>
  </si>
  <si>
    <r>
      <rPr>
        <i/>
        <sz val="11"/>
        <color theme="2" tint="-0.249977111117893"/>
        <rFont val="Calibri"/>
        <family val="2"/>
        <scheme val="minor"/>
      </rPr>
      <t>*</t>
    </r>
    <r>
      <rPr>
        <i/>
        <sz val="10"/>
        <color theme="2" tint="-0.249977111117893"/>
        <rFont val="Calibri"/>
        <family val="2"/>
        <scheme val="minor"/>
      </rPr>
      <t xml:space="preserve"> Voreinstellungen werden verwendet (siehe Grafik auf Startseite), wenn keine manuelle Eingabe.
    Wiederherstellung Voreinstellungen: alle grünen Felder leeren (mit ENTF-Taste).</t>
    </r>
  </si>
  <si>
    <t>Optionale Auswahlmöglichkeit zur weiteren Beeinflussung des Trendfaktors</t>
  </si>
  <si>
    <t>Reihenbügel</t>
  </si>
  <si>
    <r>
      <t xml:space="preserve">Bei Auswahl </t>
    </r>
    <r>
      <rPr>
        <b/>
        <i/>
        <sz val="10"/>
        <color theme="2"/>
        <rFont val="Calibri"/>
        <family val="2"/>
        <scheme val="minor"/>
      </rPr>
      <t>gleichbleibend / moderat / stark ansteigend</t>
    </r>
    <r>
      <rPr>
        <i/>
        <sz val="10"/>
        <color theme="2"/>
        <rFont val="Calibri"/>
        <family val="2"/>
        <scheme val="minor"/>
      </rPr>
      <t xml:space="preserve"> → Reisendenzahl </t>
    </r>
    <r>
      <rPr>
        <i/>
        <u/>
        <sz val="10"/>
        <color theme="2"/>
        <rFont val="Calibri"/>
        <family val="2"/>
        <scheme val="minor"/>
      </rPr>
      <t>im Prognosejahr</t>
    </r>
    <r>
      <rPr>
        <i/>
        <sz val="10"/>
        <color theme="2"/>
        <rFont val="Calibri"/>
        <family val="2"/>
        <scheme val="minor"/>
      </rPr>
      <t xml:space="preserve">: </t>
    </r>
    <r>
      <rPr>
        <b/>
        <i/>
        <sz val="10"/>
        <color theme="2"/>
        <rFont val="Calibri"/>
        <family val="2"/>
        <scheme val="minor"/>
      </rPr>
      <t>±0 % / +10 % / +25 %</t>
    </r>
  </si>
  <si>
    <t xml:space="preserve">  ▪   Hierarchie der Verteilungslogik mit internen Voreinstellungen (siehe dazu auch Grafik auf der Startseite):</t>
  </si>
  <si>
    <t xml:space="preserve">  ▪   Sie können unter "Manuelle Eingabe Anteil (in Prozent)" die zu bauenden Stellplätze als Prozentwert vom Gesamtbaubedarf auf die Sammelschließanlage und/oder das Fahrradparkhaus verteilen.</t>
  </si>
  <si>
    <r>
      <rPr>
        <b/>
        <i/>
        <sz val="11"/>
        <color theme="7"/>
        <rFont val="Calibri"/>
        <family val="2"/>
        <scheme val="minor"/>
      </rPr>
      <t>grün</t>
    </r>
    <r>
      <rPr>
        <i/>
        <sz val="11"/>
        <color theme="2" tint="-0.249977111117893"/>
        <rFont val="Calibri"/>
        <family val="2"/>
        <scheme val="minor"/>
      </rPr>
      <t xml:space="preserve"> = alle Stellplätze korrekt verteilt / </t>
    </r>
    <r>
      <rPr>
        <b/>
        <i/>
        <sz val="11"/>
        <color theme="6" tint="-0.249977111117893"/>
        <rFont val="Calibri"/>
        <family val="2"/>
        <scheme val="minor"/>
      </rPr>
      <t>gelb</t>
    </r>
    <r>
      <rPr>
        <i/>
        <sz val="11"/>
        <color theme="2" tint="-0.249977111117893"/>
        <rFont val="Calibri"/>
        <family val="2"/>
        <scheme val="minor"/>
      </rPr>
      <t xml:space="preserve"> = noch nicht genug Stellpl. verteilt / </t>
    </r>
    <r>
      <rPr>
        <b/>
        <i/>
        <sz val="11"/>
        <color theme="9"/>
        <rFont val="Calibri"/>
        <family val="2"/>
        <scheme val="minor"/>
      </rPr>
      <t>rot</t>
    </r>
    <r>
      <rPr>
        <i/>
        <sz val="11"/>
        <color theme="2" tint="-0.249977111117893"/>
        <rFont val="Calibri"/>
        <family val="2"/>
        <scheme val="minor"/>
      </rPr>
      <t xml:space="preserve"> = zu viele Stellpl. verteilt</t>
    </r>
  </si>
  <si>
    <t>Im folgenden Teil können Sie nun den ermittelten Baubedarf zu Bau- und Abstelltypen zuordnen. Die zugeordneten Werte werden in die Kostenanalyse übernommen.</t>
  </si>
  <si>
    <t xml:space="preserve">  ▪   Es können auch Umrüstungen (bei bestehender Überdachung) und Nachrüstungen von Überdachungen (ohne Abstelltypwechsel) gewählt werden.</t>
  </si>
  <si>
    <t xml:space="preserve">  ▪   Der ermittelte Baubedarf wurde bereits anhand interner Voreinstellungen zugeordnet. Sie können die Verteilung auf die einzelnen Bautypen bei Bedarf anpassen (optional).</t>
  </si>
  <si>
    <t xml:space="preserve">  ▪   Bitte beachten Sie: bei Änderungen Ihrer gemachten Eingaben/Auswahlen, die zu einem anderen Baubedarf führen, müssen Sie Zuordnungen in diesem Abschnitt ggf. anpassen.</t>
  </si>
  <si>
    <r>
      <t xml:space="preserve">       d)   Alle an diesem Punkt noch nicht verteilten Stellplätze entfallen auf den Bautyp </t>
    </r>
    <r>
      <rPr>
        <b/>
        <sz val="11"/>
        <color theme="1"/>
        <rFont val="Calibri"/>
        <family val="2"/>
        <scheme val="minor"/>
      </rPr>
      <t>Überdachte Abstellanlage</t>
    </r>
    <r>
      <rPr>
        <sz val="11"/>
        <color theme="1"/>
        <rFont val="Calibri"/>
        <family val="2"/>
        <scheme val="minor"/>
      </rPr>
      <t>.</t>
    </r>
  </si>
  <si>
    <t xml:space="preserve">  ▪   Ein eventueller Mindestbedarf darf dabei nicht unterschritten werden. Nach Ihrer Verteilung wird die noch verbleibende Differenz an Stellplätzen der überdachten Abstellanlage zugeordnet.</t>
  </si>
  <si>
    <r>
      <t xml:space="preserve">       b)   Bei Überschreitung eines Schwellenwerts von 48 Stellplätzen Baubedarf: die Hälfte des Baubedarfs entfällt auf den Bautyp </t>
    </r>
    <r>
      <rPr>
        <b/>
        <sz val="11"/>
        <color theme="1"/>
        <rFont val="Calibri"/>
        <family val="2"/>
        <scheme val="minor"/>
      </rPr>
      <t>Sammelschließanlage</t>
    </r>
    <r>
      <rPr>
        <sz val="11"/>
        <color theme="1"/>
        <rFont val="Calibri"/>
        <family val="2"/>
        <scheme val="minor"/>
      </rPr>
      <t>, außer…</t>
    </r>
  </si>
  <si>
    <r>
      <t xml:space="preserve">  ▪   Erst wenn unten diese Zeile </t>
    </r>
    <r>
      <rPr>
        <u/>
        <sz val="11"/>
        <color theme="1"/>
        <rFont val="Calibri"/>
        <family val="2"/>
        <scheme val="minor"/>
      </rPr>
      <t>durchgehend grün</t>
    </r>
    <r>
      <rPr>
        <sz val="11"/>
        <color theme="1"/>
        <rFont val="Calibri"/>
        <family val="2"/>
        <scheme val="minor"/>
      </rPr>
      <t xml:space="preserve"> dargestellt wird, können Sie mit der Kostenanalyse in Teil D fortfahren.</t>
    </r>
  </si>
  <si>
    <r>
      <rPr>
        <i/>
        <sz val="11"/>
        <rFont val="Calibri"/>
        <family val="2"/>
        <scheme val="minor"/>
      </rPr>
      <t>(Beispiel)</t>
    </r>
    <r>
      <rPr>
        <i/>
        <sz val="11"/>
        <color theme="0"/>
        <rFont val="Calibri"/>
        <family val="2"/>
        <scheme val="minor"/>
      </rPr>
      <t xml:space="preserve">   Anzahl der unten verteilten Stellplätze:</t>
    </r>
  </si>
  <si>
    <r>
      <rPr>
        <b/>
        <u/>
        <sz val="12"/>
        <color theme="1"/>
        <rFont val="Calibri"/>
        <family val="2"/>
        <scheme val="minor"/>
      </rPr>
      <t>1.</t>
    </r>
    <r>
      <rPr>
        <u/>
        <sz val="11"/>
        <color theme="1"/>
        <rFont val="Calibri"/>
        <family val="2"/>
        <scheme val="minor"/>
      </rPr>
      <t xml:space="preserve">   Zuordnung des Bedarfs zu Bautypen</t>
    </r>
  </si>
  <si>
    <r>
      <rPr>
        <b/>
        <u/>
        <sz val="12"/>
        <color theme="1"/>
        <rFont val="Calibri"/>
        <family val="2"/>
        <scheme val="minor"/>
      </rPr>
      <t>2.</t>
    </r>
    <r>
      <rPr>
        <u/>
        <sz val="11"/>
        <color theme="1"/>
        <rFont val="Calibri"/>
        <family val="2"/>
        <scheme val="minor"/>
      </rPr>
      <t xml:space="preserve">   Zuordnung der Bautypen zu Abstelltypen für Kostenberechnung</t>
    </r>
  </si>
  <si>
    <t xml:space="preserve">  ▪   Ergänzend zur Bedarfs- und Kostenermittlung können Sie auch eine Wirkungsabschätzung für Ihr Vorhaben durchführen (z.B. Einsparungen von CO2-und Luftsschadstoffemissionen).</t>
  </si>
  <si>
    <t>Bitte beachten Sie, dass diese Kostenanalyse nur als grobe Vorkalkulation dient und keine spezifische Kostenermittlung (Kostenschätzung/-berechnung) ersetzt.</t>
  </si>
  <si>
    <t>Baukosten</t>
  </si>
  <si>
    <t>VA_KOSTENANALYSE</t>
  </si>
  <si>
    <t>Daten aus Teil C übernehmen</t>
  </si>
  <si>
    <t>Eigene Bestandsdaten eingeben</t>
  </si>
  <si>
    <t>R_KOSTENANALYSE</t>
  </si>
  <si>
    <t xml:space="preserve">Auf dieser Seite können Sie eine Kostenanalyse für B+R-Anlagen durchführen. Dazu können Sie entweder die Bedarfswerte aus Teil C übernehmen oder Ihre eigenen Bedarfsdaten verwenden. </t>
  </si>
  <si>
    <t>A</t>
  </si>
  <si>
    <t>Anlehnbügel inklusive Gründung/Montage</t>
  </si>
  <si>
    <t>Stk.</t>
  </si>
  <si>
    <t>Hoch-Tief-Einsteller (Reihenanlage) inklusive Gründung/Befestigung/Montage</t>
  </si>
  <si>
    <t>Doppelstockparker inklusive Gründung/Befestigung/Montage je Stellplatz</t>
  </si>
  <si>
    <t>Abstelltypen</t>
  </si>
  <si>
    <t>Summe Abstelltypen</t>
  </si>
  <si>
    <t>Menge</t>
  </si>
  <si>
    <t>Einheit</t>
  </si>
  <si>
    <t>Einheitswert</t>
  </si>
  <si>
    <t>B</t>
  </si>
  <si>
    <t xml:space="preserve">Standardüberdachung </t>
  </si>
  <si>
    <t>m²</t>
  </si>
  <si>
    <t>Seitenwände (Zaun, Lochblech)</t>
  </si>
  <si>
    <t>Tür / Schiebetür</t>
  </si>
  <si>
    <t>C</t>
  </si>
  <si>
    <t>Gebäude (Fahrradparkhäuser / Radstationen)</t>
  </si>
  <si>
    <t>m² BGF</t>
  </si>
  <si>
    <t>D</t>
  </si>
  <si>
    <t>Ausstattung</t>
  </si>
  <si>
    <t>Zugangssystem in kleinen Anlagen (Schloss, Chipkartenleser, PIN-Code)</t>
  </si>
  <si>
    <t>Zugangssystem in großen Anlagen (Automat, Drehkreuzanlage)</t>
  </si>
  <si>
    <t>Beleuchtung, elektrische Versorgung, Blitzschutz/Erdung</t>
  </si>
  <si>
    <t>Videoüberwachungsanlage</t>
  </si>
  <si>
    <t>Innenausbau Ladenlokal/Werkstatt mit Verkaufs-/Personalräumen/WC</t>
  </si>
  <si>
    <t>E</t>
  </si>
  <si>
    <t>Baukostenreserve (% von Baukosten)</t>
  </si>
  <si>
    <t>Baustelleneinrichtung (% von Baukosten)</t>
  </si>
  <si>
    <t>pauschal:</t>
  </si>
  <si>
    <t>F</t>
  </si>
  <si>
    <t>Bau- und Planungskosten gesamt</t>
  </si>
  <si>
    <t>Mehrwertsteuer</t>
  </si>
  <si>
    <t>Grunderwerb (oder einmaliger Aufwand Grundstücksnutzung)</t>
  </si>
  <si>
    <t>Herstellungskosten gesamt</t>
  </si>
  <si>
    <t>Kosten je Stellplatz</t>
  </si>
  <si>
    <t>Investitionsfinanzierung</t>
  </si>
  <si>
    <t>H</t>
  </si>
  <si>
    <t>Fördermittel</t>
  </si>
  <si>
    <t>1a</t>
  </si>
  <si>
    <t>1b</t>
  </si>
  <si>
    <t>2a</t>
  </si>
  <si>
    <t>2b</t>
  </si>
  <si>
    <t>Zwischensumme Fördermittel</t>
  </si>
  <si>
    <t>Eigenmittel / Drittmittel</t>
  </si>
  <si>
    <t>Verbleibender Investitionsbetrag (Fördermittel abzüglich Herstellungskosten)</t>
  </si>
  <si>
    <t>Investitionsbeiträge Dritter (eigenmittelähnlich)</t>
  </si>
  <si>
    <t>Verbleibender kommunaler Eigenanteil</t>
  </si>
  <si>
    <t>Jährliche Kosten</t>
  </si>
  <si>
    <t>J</t>
  </si>
  <si>
    <t>Unterhalt baulicher Anlagen</t>
  </si>
  <si>
    <t>Anlagenabschreibung (von eingesetzten Eigenmitteln)</t>
  </si>
  <si>
    <t>Zwischensumme Unterhalt baulicher Anlagen</t>
  </si>
  <si>
    <t>K</t>
  </si>
  <si>
    <t>Verbrauchskosten</t>
  </si>
  <si>
    <t>€/m² pro Monat:</t>
  </si>
  <si>
    <t>sonstige nicht umlagefähige Betriebskosten (€/m² pro Monat)</t>
  </si>
  <si>
    <t>Versicherungen p.a.</t>
  </si>
  <si>
    <t>M</t>
  </si>
  <si>
    <t>Betreiberkosten</t>
  </si>
  <si>
    <t>Grundstücksnutzung (Miet-/Gestattungsverträge o.ä.) p.a.</t>
  </si>
  <si>
    <t>Servicepersonal; AG-Brutto p.a.</t>
  </si>
  <si>
    <t>Personal/Systemaufwand Entgelt- und Mietabrechnung/Objektbetreuung p.a.</t>
  </si>
  <si>
    <t>Sachkosten Zugangs- und Abrechnungssystem (Dienstleistungsverträge)</t>
  </si>
  <si>
    <t>Zwischensumme Verbrauchs- und Betreiberkosten</t>
  </si>
  <si>
    <t>Einnahmen</t>
  </si>
  <si>
    <t>N</t>
  </si>
  <si>
    <t>Anzahl Verträge mit Jahresentgelt</t>
  </si>
  <si>
    <t>Anzahl Verträge mit Monatsentgelt (pro Monat)</t>
  </si>
  <si>
    <t>Anzahl Verträge mit Tagesentgelt (im Jahr, bei 220 Werktagen)</t>
  </si>
  <si>
    <t>O</t>
  </si>
  <si>
    <t>Sonstige Einnahmen</t>
  </si>
  <si>
    <t>Vermietung von Teilflächen (im Jahr; Basis NK-Miete pro Monat)</t>
  </si>
  <si>
    <t>Betriebskostenzuschüsse Dritter</t>
  </si>
  <si>
    <t>€/Jahr</t>
  </si>
  <si>
    <t>Werbeeinnahmen (Banner, Werbeflächen)</t>
  </si>
  <si>
    <t>P</t>
  </si>
  <si>
    <t>Bonusanteil je Neukunde (analog Vertriebsprovision)</t>
  </si>
  <si>
    <t>Zusatzeinnahmen (Standardpreis aus P1 x Bonusanteil aus P2 x Stellplätze aus P3)</t>
  </si>
  <si>
    <t>Kosten</t>
  </si>
  <si>
    <r>
      <t xml:space="preserve">  ▪  </t>
    </r>
    <r>
      <rPr>
        <sz val="11"/>
        <color theme="4"/>
        <rFont val="Calibri"/>
        <family val="2"/>
        <scheme val="minor"/>
      </rPr>
      <t xml:space="preserve"> </t>
    </r>
    <r>
      <rPr>
        <b/>
        <sz val="11"/>
        <color theme="3" tint="0.39997558519241921"/>
        <rFont val="Calibri"/>
        <family val="2"/>
        <scheme val="minor"/>
      </rPr>
      <t>Blaugrau hinterlegte Felder</t>
    </r>
    <r>
      <rPr>
        <sz val="11"/>
        <color theme="1"/>
        <rFont val="Calibri"/>
        <family val="2"/>
        <scheme val="minor"/>
      </rPr>
      <t xml:space="preserve"> zeigen Summen an (nur Kostenanalyse).</t>
    </r>
  </si>
  <si>
    <r>
      <t xml:space="preserve">  ▪  </t>
    </r>
    <r>
      <rPr>
        <sz val="11"/>
        <color theme="4"/>
        <rFont val="Calibri"/>
        <family val="2"/>
        <scheme val="minor"/>
      </rPr>
      <t xml:space="preserve"> </t>
    </r>
    <r>
      <rPr>
        <b/>
        <sz val="11"/>
        <color theme="4"/>
        <rFont val="Calibri"/>
        <family val="2"/>
        <scheme val="minor"/>
      </rPr>
      <t>Lila hinterlegte Felder</t>
    </r>
    <r>
      <rPr>
        <sz val="11"/>
        <color theme="1"/>
        <rFont val="Calibri"/>
        <family val="2"/>
        <scheme val="minor"/>
      </rPr>
      <t xml:space="preserve"> sind änderbare Einheitspreise/Werte (nur Kostenanalyse).</t>
    </r>
  </si>
  <si>
    <t>Zwischensumme A bis D</t>
  </si>
  <si>
    <t>ja</t>
  </si>
  <si>
    <t>← ja/nein         % →</t>
  </si>
  <si>
    <t>Zwischensumme E0 bis E3</t>
  </si>
  <si>
    <t>0 bis 3</t>
  </si>
  <si>
    <t>Zwischensummen Baukosten</t>
  </si>
  <si>
    <t>Planungspauschale (% von Zwischensumme E0 bis E3)</t>
  </si>
  <si>
    <t>Gesamtsumme der Bau- und Planungskosten (netto)</t>
  </si>
  <si>
    <t>% →</t>
  </si>
  <si>
    <t>Nutz.-dauer Jahre:</t>
  </si>
  <si>
    <t>← Anzahl VZP</t>
  </si>
  <si>
    <t>€/Jahr:</t>
  </si>
  <si>
    <t>Wirkungsrechner</t>
  </si>
  <si>
    <t xml:space="preserve">  ▪   Mit diesem Bedarfs- und Kostenrechner können Sie den Bedarf an optimalen Radabstellplätzen für Bahnhöfe / Haltepunkte sowie die ungefähren Kosten für die bauliche Umsetzung ermitteln.</t>
  </si>
  <si>
    <t xml:space="preserve">  ▪   Der Bedarfs- und Kostenrechner ist für bestehende Bahnhöfe / Haltpunkte gedacht, an denen sich bereits abgestellte Fahrräder befinden.</t>
  </si>
  <si>
    <t>Allgemeines zum Bedarfs- und Kostenrechner und zur Handhabung dieser Excel-Datei</t>
  </si>
  <si>
    <t xml:space="preserve">       Sie in Teil D am Ende der Seite ablesen. Um zum Wirkungsrechner zu kommen, klicken Sie bitte hier (es öffnet sich die Website mit dem Online-Tool):</t>
  </si>
  <si>
    <r>
      <t xml:space="preserve">Investitionsfinanzierung gesamt   </t>
    </r>
    <r>
      <rPr>
        <i/>
        <sz val="11"/>
        <rFont val="Calibri"/>
        <family val="2"/>
        <scheme val="minor"/>
      </rPr>
      <t>(entspricht Herstellungskosten gesamt)</t>
    </r>
  </si>
  <si>
    <t>Jährliche Kosten insgesamt</t>
  </si>
  <si>
    <t>← Stk.      Entgelt →</t>
  </si>
  <si>
    <t>Einnahmen insgesamt</t>
  </si>
  <si>
    <t>Eingangsdaten für den Wirkungsrechner</t>
  </si>
  <si>
    <t xml:space="preserve">Baubedarf gesamt: </t>
  </si>
  <si>
    <t>Gesamtsalden (jährliche Bau- und Betriebskosten)</t>
  </si>
  <si>
    <t>VA_FEHLER_D</t>
  </si>
  <si>
    <t>D1</t>
  </si>
  <si>
    <t>Fehler C bzw D</t>
  </si>
  <si>
    <t>eigene Daten →</t>
  </si>
  <si>
    <t>abweichende zuwendungsfähige Kosten hier eintragen (wird dann Berechnungsgrundlage)  →</t>
  </si>
  <si>
    <t>D2</t>
  </si>
  <si>
    <t>D3</t>
  </si>
  <si>
    <t>L</t>
  </si>
  <si>
    <t>Zins in %:</t>
  </si>
  <si>
    <t>Eingabe prüfen  →</t>
  </si>
  <si>
    <t>mtl. Miete je m²:</t>
  </si>
  <si>
    <t>Summe N1 bis N3 darf nicht höher als N0 sein ↓</t>
  </si>
  <si>
    <t xml:space="preserve">  ▪   Erforderliche Neukunden zur Deckung der Anlagenkosten</t>
  </si>
  <si>
    <t>ggf. hier Verkehrsverbund eintragen</t>
  </si>
  <si>
    <t>Standardpreis ÖV-Jahreskarte (übliche Verkehrsregion)</t>
  </si>
  <si>
    <t>TBS_FH_D</t>
  </si>
  <si>
    <t>Bitte prüfen Sie Ihre Eingaben unten.</t>
  </si>
  <si>
    <t>Fragen zum Fahrradparken am Bahnhof und Unterstützung beim Ausfüllen dieser Datei – wir sind für Sie da!</t>
  </si>
  <si>
    <t xml:space="preserve">  ▪   Bitte prüfen Sie gelegentlich, ob eine neuere Version dieser Datei veröffentlicht wurde. Klicken Sie dazu hier (es öffnet sich die Download-Webseite):</t>
  </si>
  <si>
    <t xml:space="preserve">  ▪   Wir unterstützen Sie auch gerne beim Ausfüllen dieses Bedarfs- und Kostenrechners und beantworten Fragen zu den einzelnen Funktionen.</t>
  </si>
  <si>
    <t xml:space="preserve">  ▪   Schreiben Sie uns eine Mail und wir melden uns bei Ihnen oder rufen Sie uns einfach an. Die Kontaktdaten finden Sie auf unserer Webseite (hier klicken):</t>
  </si>
  <si>
    <t xml:space="preserve">  ▪   Für die Wirkungsabschätzung können Werte zum Stellplatzbedarf und zu den Kosten aus diesem Rechner verwendet werden. Die betreffenden Werte können</t>
  </si>
  <si>
    <t>Zuordnung Stellplätze zu Variablen / Auslastungsberechnungen / Stellplatzverteilung</t>
  </si>
  <si>
    <t>Zuordnung zu Abstelltypen</t>
  </si>
  <si>
    <t>Zuordnung zu Abstelltypen für Kostenanalyse</t>
  </si>
  <si>
    <t>Kostenanalyse</t>
  </si>
  <si>
    <t>nicht höher als J1  →</t>
  </si>
  <si>
    <t>=  Anzahl Stellpl.:</t>
  </si>
  <si>
    <t>← Sie können die Einheitspreise/Werte mit eigenen Werten überschreiben</t>
  </si>
  <si>
    <t>← diese Felder können nicht beschrieben werden</t>
  </si>
  <si>
    <t>Zeitpunkt der Bestandsaufnahme</t>
  </si>
  <si>
    <t xml:space="preserve">  ▪   Zählung nach dem morgendlichen Schüler- und Pendlerverkehr, aber noch vor dem erneut einsetzenden Schülerverkehr am frühen Nachmittag.</t>
  </si>
  <si>
    <t xml:space="preserve">  ▪   Zählung in den Frühlings- und Sommermonaten,</t>
  </si>
  <si>
    <t xml:space="preserve">  ▪   Zählung an einem Werktag: vorrangig Montag bis Donnerstag an Schultagen,</t>
  </si>
  <si>
    <t xml:space="preserve">  ▪   Der jeweils höchste ermittelte Auslastungswert ist für die Bedarfsberechnung anzusetzen.</t>
  </si>
  <si>
    <t xml:space="preserve">  ▪   Mindestens einmal sollte auch die Nachtabstellung von Fahrrädern (besonders in gesicherten Anlagen) geprüft und ggf. in der Bedarfsberechnung berücksichtigt werden.</t>
  </si>
  <si>
    <t>Lage der Stellplatzanlagen</t>
  </si>
  <si>
    <t xml:space="preserve">  ▪   Für die Ermittlung eines Baubedarfs mit diesem Bedarfs- und Kostenrechner ist es zuerst erforderlich, dass Sie ihren Bestand an Radabstellanlagen zählen. Darüber hinaus benötigen Sie auch</t>
  </si>
  <si>
    <t xml:space="preserve">       Entfernungen, die der Nutzer zum Bahnhofs- bzw. Bahnsteigzugang überwinden muss. Mit zunehmender Entfernung sinkt die Bereitschaft, das Fahrrad in der Anlage abzustellen.</t>
  </si>
  <si>
    <t xml:space="preserve">  ▪   Es wird daher empfohlen, die Bestandsaufnahme (sowohl der Radabstellanlagen als auch der abgestellten Räder) gestaffelt nach Entfernung vom nächstgelegenen</t>
  </si>
  <si>
    <t xml:space="preserve">       Bahnhofs- bzw. Bahnsteigzugang durchzuführen:  •  bis 20 m  •  20 bis 50 m  •  50 bis 100 m  •  über 100 m.</t>
  </si>
  <si>
    <t xml:space="preserve">  ▪   Für eine genauere Auswertung können Sie Ihre Bestandsaufnahme optional auch für zwei verschiedene Bahnhofsseiten separat durchführen.</t>
  </si>
  <si>
    <t xml:space="preserve">  ▪   Auf der Startseite finden Sie Grafiken zu den Bau- und Abstelltypen mit den entfernungsabhängigen Bewertungskategorien sowie zu den Entfernungen am Bahnhof und den Bahnhofsseiten.</t>
  </si>
  <si>
    <t>Bahnhof</t>
  </si>
  <si>
    <t>Bahnhofsseite (optional)</t>
  </si>
  <si>
    <t xml:space="preserve">  ▪   Freitage, Tage vor Feiertagen und auch Zählungen während der Schulferien eignen sich nicht für eine aussagekräftige Bestandsermittlung. Des Weiteren sollten keine außergewönlichen</t>
  </si>
  <si>
    <t>vermietet / genutzt</t>
  </si>
  <si>
    <t>Bautyp →</t>
  </si>
  <si>
    <t>Abstelltyp ↓</t>
  </si>
  <si>
    <t>Anzahl Stellpl.</t>
  </si>
  <si>
    <r>
      <t xml:space="preserve">Abstand der Stellplätze vom nächst gelegenen Zugang: </t>
    </r>
    <r>
      <rPr>
        <b/>
        <sz val="16"/>
        <color theme="1"/>
        <rFont val="Calibri"/>
        <family val="2"/>
        <scheme val="minor"/>
      </rPr>
      <t>über 100 m</t>
    </r>
  </si>
  <si>
    <r>
      <t xml:space="preserve">Abstand der Stellplätze vom nächst gelegenen Zugang: </t>
    </r>
    <r>
      <rPr>
        <b/>
        <sz val="16"/>
        <color theme="1"/>
        <rFont val="Calibri"/>
        <family val="2"/>
        <scheme val="minor"/>
      </rPr>
      <t>50 bis 100 m</t>
    </r>
  </si>
  <si>
    <r>
      <t xml:space="preserve">Abstand der Stellplätze vom nächst gelegenen Zugang: </t>
    </r>
    <r>
      <rPr>
        <b/>
        <sz val="16"/>
        <color theme="1"/>
        <rFont val="Calibri"/>
        <family val="2"/>
        <scheme val="minor"/>
      </rPr>
      <t>bis 20 m</t>
    </r>
  </si>
  <si>
    <t>Anz. Radboxen</t>
  </si>
  <si>
    <t xml:space="preserve">  ▪   Den Bestand an Radabstellanlagen müssen Sie nur einmal zählen, außer es sind Anlagen hinzugekommen oder abgebaut worden.</t>
  </si>
  <si>
    <t xml:space="preserve">  ▪   Für eine aussagekräftige Bedarfsermittlung sollten Sie den Bestand an abgestellten Rädern an mehreren Tagen und bei möglichst gleichen Rahmenbedingungen zählen, um</t>
  </si>
  <si>
    <t xml:space="preserve">       konsistente und valide Daten zur Auslastung zu erhalten:</t>
  </si>
  <si>
    <r>
      <t xml:space="preserve">Abstand der Stellplätze vom nächst gelegenen Zugang: </t>
    </r>
    <r>
      <rPr>
        <b/>
        <sz val="16"/>
        <rFont val="Calibri"/>
        <family val="2"/>
        <scheme val="minor"/>
      </rPr>
      <t>20 bis 50 m</t>
    </r>
  </si>
  <si>
    <t xml:space="preserve">  ▪   Zählung bei trockenem Wetter sowie</t>
  </si>
  <si>
    <t>Verbleibendes Saldo aus Einnahmen und jährlichen Kosten (mit Abschreibungen)</t>
  </si>
  <si>
    <t>Verbleibendes Saldo aus Einnahmen und jährlichen Kosten (ohne Abschreibungen)</t>
  </si>
  <si>
    <t>Saldo je Stellplatz p.a. (ohne Abschreibungen)</t>
  </si>
  <si>
    <t xml:space="preserve">  ▪   Auf dem Reiter "Zählung Bestand" (in der Navigation oben mit "123" bezeichnet) finden Sie Informationen zur Bestandsaufnahme und können sich einen Bestandsaufnahmebogen ausdrucken.</t>
  </si>
  <si>
    <t xml:space="preserve">       Ereignisse am Tag bzw. um den Tag der Zählung stattfinden (z.B. Stadtfeste, größere Bauarbeiten mit Verkehrsbehinderung, Schienenersatzverkehr o.ä.).</t>
  </si>
  <si>
    <t>↑ alle</t>
  </si>
  <si>
    <t>↑ nur opt.</t>
  </si>
  <si>
    <r>
      <t>v2.1</t>
    </r>
    <r>
      <rPr>
        <sz val="10"/>
        <color theme="2"/>
        <rFont val="Calibri"/>
        <family val="2"/>
        <scheme val="minor"/>
      </rPr>
      <t xml:space="preserve"> (07.06.22)</t>
    </r>
  </si>
  <si>
    <t>•</t>
  </si>
  <si>
    <t>Kostenanalyse: bei Punkt E3 "Rückbau von alten Abstellanlagen" ergänzt</t>
  </si>
  <si>
    <t>Vorarbeiten (z.B. Leitungsverlegungen, Rückbau von alten Abstellanlagen etc.)</t>
  </si>
  <si>
    <t>Den Bestand am Bahnhof richtig erfassen – Radabstellanlagen und abgestellte Räder</t>
  </si>
  <si>
    <t xml:space="preserve">  ▪   Unten auf dieser Seite finden Sie einen Bestandsaufnahmebogen, den Sie sich ausdrucken können.</t>
  </si>
  <si>
    <t>Zählung Bestand: Hinweise zu Schrotträdern ergänzt (inkl. Bestandsaufnahmebogen)</t>
  </si>
  <si>
    <t>Changelog ab v2.0</t>
  </si>
  <si>
    <t>Tabellenreiter "Projektbeschreibung" ergänzt</t>
  </si>
  <si>
    <t>Konzeption und Umsetzung</t>
  </si>
  <si>
    <t>Bötzowstr. 38, 10407 Berlin</t>
  </si>
  <si>
    <r>
      <t xml:space="preserve">Hier können Sie zwischen den Teilen </t>
    </r>
    <r>
      <rPr>
        <b/>
        <sz val="11"/>
        <color theme="6" tint="-0.249977111117893"/>
        <rFont val="Calibri"/>
        <family val="2"/>
        <scheme val="minor"/>
      </rPr>
      <t>A bis F</t>
    </r>
    <r>
      <rPr>
        <sz val="11"/>
        <color theme="6" tint="-0.249977111117893"/>
        <rFont val="Calibri"/>
        <family val="2"/>
        <scheme val="minor"/>
      </rPr>
      <t xml:space="preserve"> navigieren.</t>
    </r>
  </si>
  <si>
    <r>
      <t xml:space="preserve">Hier finden Sie eine Anleitung zur </t>
    </r>
    <r>
      <rPr>
        <b/>
        <sz val="11"/>
        <color theme="2" tint="-0.249977111117893"/>
        <rFont val="Calibri"/>
        <family val="2"/>
        <scheme val="minor"/>
      </rPr>
      <t>Bestandszählung</t>
    </r>
    <r>
      <rPr>
        <sz val="11"/>
        <color theme="2" tint="-0.249977111117893"/>
        <rFont val="Calibri"/>
        <family val="2"/>
        <scheme val="minor"/>
      </rPr>
      <t>.</t>
    </r>
  </si>
  <si>
    <r>
      <t xml:space="preserve">Mit Klick hier kommen Sie wieder auf diese </t>
    </r>
    <r>
      <rPr>
        <b/>
        <sz val="11"/>
        <color theme="2" tint="-0.249977111117893"/>
        <rFont val="Calibri"/>
        <family val="2"/>
        <scheme val="minor"/>
      </rPr>
      <t>Startseite</t>
    </r>
    <r>
      <rPr>
        <sz val="11"/>
        <color theme="2" tint="-0.249977111117893"/>
        <rFont val="Calibri"/>
        <family val="2"/>
        <scheme val="minor"/>
      </rPr>
      <t>.</t>
    </r>
  </si>
  <si>
    <t xml:space="preserve">  ▪   In Teil E finden Sie eine Checkliste, die sie bei Ihrer Projektplanung unterstützen kann; außerdem haben Sie die Möglichkeit Ihr Projekt näher zu beschreiben.</t>
  </si>
  <si>
    <t>Kontakt technischer Support</t>
  </si>
  <si>
    <t>Grundstücksnutzung</t>
  </si>
  <si>
    <t>Kommune</t>
  </si>
  <si>
    <t>DB</t>
  </si>
  <si>
    <t>Sonstige</t>
  </si>
  <si>
    <t>Bau / Investition</t>
  </si>
  <si>
    <t>Betrieb</t>
  </si>
  <si>
    <t>Finanzierung Betrieb</t>
  </si>
  <si>
    <t>Entwicklungsprozess</t>
  </si>
  <si>
    <t>G</t>
  </si>
  <si>
    <t>Projektdetails</t>
  </si>
  <si>
    <t>Eigentumswechsel durch Grunderwerb erforderlich?</t>
  </si>
  <si>
    <t>Grundstücksnutzung durch Gestattungs-/Pachtvertrag?</t>
  </si>
  <si>
    <t>Entfernung zum Bahnhofs-/Bahnsteigzugang</t>
  </si>
  <si>
    <t>Anbindung der Anlage an Radwege im Umfeld</t>
  </si>
  <si>
    <t>Bauherr</t>
  </si>
  <si>
    <t>Baugenehmigung erforderlich?</t>
  </si>
  <si>
    <t>Investitionskosten gesamt (geschätzt für Bau und Planung)</t>
  </si>
  <si>
    <t>Antragsteller Förderantrag 1</t>
  </si>
  <si>
    <t>Antragsteller Förderantrag 2</t>
  </si>
  <si>
    <t>Bau- und Finanzierungsvertrag mit Dritten erforderlich?</t>
  </si>
  <si>
    <t>Unterhaltung bauliche Anlagen</t>
  </si>
  <si>
    <t>Nutzung / Betrieb / Verbrauchskosten</t>
  </si>
  <si>
    <t>Serviceleistungen (Aufsicht, Werkstatt, Verleih)</t>
  </si>
  <si>
    <t>Wartung / Abrechnungssysteme</t>
  </si>
  <si>
    <t>Kosten Betrieb / Unterhalt gesamt</t>
  </si>
  <si>
    <t>Bedarfsermittlung erfolgt?</t>
  </si>
  <si>
    <t>Gesprächsformat mit Projektbeteiligten initiiert?</t>
  </si>
  <si>
    <t>Kontakt zur Infostelle Radparken aufgenommen?</t>
  </si>
  <si>
    <t>Grundsatzbeschluss der Kommunalpolitik erforderlich?</t>
  </si>
  <si>
    <t>Vorabstimmung mit Fördergeber erfolgt?</t>
  </si>
  <si>
    <t>Terminplan erstellt</t>
  </si>
  <si>
    <t>Neubau einer Anlage?</t>
  </si>
  <si>
    <t>Anzahl Stellplätze nach Art der Abstelltypen</t>
  </si>
  <si>
    <t>Stellplätze für Verleihräder (Teilmenge von G3)</t>
  </si>
  <si>
    <t>Servicefunktionen</t>
  </si>
  <si>
    <t>Nutzungsentgelte für gesichertes Abstellen</t>
  </si>
  <si>
    <t>Sicherheitsausstattung</t>
  </si>
  <si>
    <t>Baukonstruktion</t>
  </si>
  <si>
    <t>Dachausbildung</t>
  </si>
  <si>
    <t>Fassadenausbildung</t>
  </si>
  <si>
    <t>Klimaschutz</t>
  </si>
  <si>
    <t>Planungsvorbereitung: Planungswettbewerb vorgesehen?</t>
  </si>
  <si>
    <t>Planungsvorbereitung: Planungsbüro schon gebunden?</t>
  </si>
  <si>
    <t>Ist das Fahrradparken Teil einer</t>
  </si>
  <si>
    <t>offen:</t>
  </si>
  <si>
    <t>gesichert:</t>
  </si>
  <si>
    <t>Werkstatt</t>
  </si>
  <si>
    <t>Handel</t>
  </si>
  <si>
    <t>Schlüssel</t>
  </si>
  <si>
    <t>PIN-Code</t>
  </si>
  <si>
    <t>Personal</t>
  </si>
  <si>
    <t>eingeschossig</t>
  </si>
  <si>
    <t>konventionell</t>
  </si>
  <si>
    <t>Metallgitter / Stabmatte</t>
  </si>
  <si>
    <t>Holzlamellen</t>
  </si>
  <si>
    <t>Geothermie</t>
  </si>
  <si>
    <t>Verleih</t>
  </si>
  <si>
    <t>WC</t>
  </si>
  <si>
    <t>E-Laden</t>
  </si>
  <si>
    <t>RFID-Chip</t>
  </si>
  <si>
    <t>QR-Scanner</t>
  </si>
  <si>
    <t>24h kostenfrei</t>
  </si>
  <si>
    <t>PV-Module</t>
  </si>
  <si>
    <t>Lochblech</t>
  </si>
  <si>
    <t>Glas</t>
  </si>
  <si>
    <t>Holzbau</t>
  </si>
  <si>
    <t>Kaufpreis inkl. NK:</t>
  </si>
  <si>
    <t>Abschlusskosten (einmalig):</t>
  </si>
  <si>
    <t>Kosten jährlich:</t>
  </si>
  <si>
    <t>Genehmigungsbehörde:</t>
  </si>
  <si>
    <t>gesamt:</t>
  </si>
  <si>
    <t>Förderprogramm 1:</t>
  </si>
  <si>
    <t>Förderprogramm 2:</t>
  </si>
  <si>
    <t>Vertragspartner:</t>
  </si>
  <si>
    <t>Zeitraum:</t>
  </si>
  <si>
    <t>Kontakt:</t>
  </si>
  <si>
    <t>Ziel Inbetriebnahmetermin:</t>
  </si>
  <si>
    <t>Gesamt:</t>
  </si>
  <si>
    <t>Reparatursäule/Schlauchautomat</t>
  </si>
  <si>
    <t>Schließfächer</t>
  </si>
  <si>
    <t>Handy-App</t>
  </si>
  <si>
    <t>Videoüberwachung</t>
  </si>
  <si>
    <t>Gründach</t>
  </si>
  <si>
    <t>Link zur Kontaktseite auf der Startseite</t>
  </si>
  <si>
    <t>z.B. Fachämter, Planer, Fördermittelgeber, Betreiber</t>
  </si>
  <si>
    <t>Datum hier einfügen</t>
  </si>
  <si>
    <t>Bauen im Bestand oder Umnutzung?</t>
  </si>
  <si>
    <t>Beschreibung der übrigen Projektteile:</t>
  </si>
  <si>
    <t>Anlehnbügel (i.d.R. zwei Stellplätze pro Bügel):</t>
  </si>
  <si>
    <t>Doppelstockparker:</t>
  </si>
  <si>
    <t>Fahrradboxen (alternativ zu Sammelschließbereich):</t>
  </si>
  <si>
    <t>Derzeitiger Eigentümer</t>
  </si>
  <si>
    <t>Zukünftiger Eigentümer</t>
  </si>
  <si>
    <t>Vertragliche Regelungen (Betreibervertrag, EReG u.a.) ?</t>
  </si>
  <si>
    <t xml:space="preserve">      umfassenden Umgestaltung des Bahnhofsumfeldes?</t>
  </si>
  <si>
    <t>Meter:</t>
  </si>
  <si>
    <t>Flurstücksnr.:</t>
  </si>
  <si>
    <t>Größe (m²):</t>
  </si>
  <si>
    <t>Wer ?</t>
  </si>
  <si>
    <t>Fläche für Service (m²):</t>
  </si>
  <si>
    <t>Buchungs- und Zugangssystem für 
gesicherten Bereich (Kombination möglich)</t>
  </si>
  <si>
    <t>Abstellen entgeltpflichtig</t>
  </si>
  <si>
    <t>mehrgeschossig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</si>
  <si>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-Neutralität angestrebt?</t>
    </r>
  </si>
  <si>
    <t>Checkboxen</t>
  </si>
  <si>
    <r>
      <t xml:space="preserve">Investitionskosten gesamt    </t>
    </r>
    <r>
      <rPr>
        <i/>
        <sz val="10"/>
        <rFont val="Calibri"/>
        <family val="2"/>
        <scheme val="minor"/>
      </rPr>
      <t>(Kostenanalyse: H und J)</t>
    </r>
  </si>
  <si>
    <r>
      <t xml:space="preserve">Kosten Betrieb / Unterhalt gesamt    </t>
    </r>
    <r>
      <rPr>
        <i/>
        <sz val="10"/>
        <rFont val="Calibri"/>
        <family val="2"/>
        <scheme val="minor"/>
      </rPr>
      <t>(Kostenanalyse: K bis M)</t>
    </r>
  </si>
  <si>
    <t>Ergebnis Stellplätze (ermittelter Baubedarf):</t>
  </si>
  <si>
    <t>gesichert</t>
  </si>
  <si>
    <t>Reihenbügelanlage / Hoch-Tief-Einsteller:</t>
  </si>
  <si>
    <t>Sonstiges</t>
  </si>
  <si>
    <t>Anzahl Geschosse</t>
  </si>
  <si>
    <t>Fassadenplatten</t>
  </si>
  <si>
    <t>zu klärenden Punkten soll Ihnen hier die Orientierung bei Ihrem Projekt erleichtern. Bestimmte Werte, wie bspw. Investitionskosten oder die Anzahl zu bauender Stellplätze, werden automatisch</t>
  </si>
  <si>
    <t xml:space="preserve">aus den Teilen A bis D übernommen. In den grünen Feldern können Sie eigene Eintragungen vornehmen. </t>
  </si>
  <si>
    <t>Name Bearbeiter</t>
  </si>
  <si>
    <t>Kontakt Bearbeiter</t>
  </si>
  <si>
    <t>V_VER2</t>
  </si>
  <si>
    <t>V_VER1</t>
  </si>
  <si>
    <t>Anmerkungen 1</t>
  </si>
  <si>
    <t>Anmerkungen 2</t>
  </si>
  <si>
    <t xml:space="preserve">  ▪   In Teil D können Sie eine Analyse der Bau- und Betriebskosten sowie der Einnahmen (Fördermittel, Nutzungsentgelte) auf Grundlage der ermittelten (oder eigener) Bedarfsdaten durchführen.</t>
  </si>
  <si>
    <t>umfassenden Umgestaltung des Bahnhofsumfeldes?</t>
  </si>
  <si>
    <t>Zugang / Rabatt mit ÖV-Zeitkarte</t>
  </si>
  <si>
    <t>Nachrüstung Überdachung ohne Abstelltypwechsel</t>
  </si>
  <si>
    <t>Tabellenreiter "Kostenanalyse": A5 (neu) ergänzt; A5 (alt) zu A6; Verweise angepasst</t>
  </si>
  <si>
    <t>Bodenbelag / Überdachungen / Seitenwände (kleine Anlagen)</t>
  </si>
  <si>
    <t>Neue Drucklayouts angelegt und vorhandene angepasst</t>
  </si>
  <si>
    <t xml:space="preserve">  ▪   In Teil F werden Ihre in den Teilen A bis D gemachten Eingaben in einem Kurzbericht, den Sie ausdrucken bzw. als PDF abspeichern können, zusammengefasst.</t>
  </si>
  <si>
    <t>Folgende Teile dieser Datei sind zum Ausdrucken bzw. für eine PDF-Erstellung optimiert:</t>
  </si>
  <si>
    <t>Drucken und PDF-Erstellung</t>
  </si>
  <si>
    <t xml:space="preserve">  ▪   die Projektbeschreibung / Checkliste (Teil E) sowie</t>
  </si>
  <si>
    <t xml:space="preserve">  ▪   der Bestandsaufnahmebogen auf dem Reiter "Zählung Bestand".</t>
  </si>
  <si>
    <t xml:space="preserve">  ▪   Der Kurzbericht (Teil F) mit der Zusammenfassung Ihrer Eingaben aus den Teilen A bis D sowie der zentralen Berechnungsergebnisse,</t>
  </si>
  <si>
    <t>Bei Fehlermeldungen bitte diese Datei an der Stelle abspeichern, an der ein Fehler aufgetreten ist. Die Datei und ggf. Screenshots des Fehlers dann bitte per E-Mail inkl. Fehlerbeschreibung an den technischen Support schicken.</t>
  </si>
  <si>
    <t>Jährliche Gebäudeinstandhaltung (% von B1-4, C1 und D6)</t>
  </si>
  <si>
    <t>Ausdruck bzw. PDF-Erstellung der Teile A bis D sowie der Startseite sind selbstverständlich auch möglich; diese Teile sind aber nicht druckoptimiert. Von der Startseite werden nur die Grafiken</t>
  </si>
  <si>
    <t>ergebnisse übersichtlich zusammengefasst.</t>
  </si>
  <si>
    <t>können Sie rechts eingeben (z.B. Ihren Namen / Ihre Kontaktdaten).</t>
  </si>
  <si>
    <r>
      <t xml:space="preserve">Auf dieser Seite können Sie Ihr Projekt näher beschreiben. Die Projektbeschriebung ist als </t>
    </r>
    <r>
      <rPr>
        <b/>
        <sz val="11"/>
        <color theme="1"/>
        <rFont val="Calibri"/>
        <family val="2"/>
        <scheme val="minor"/>
      </rPr>
      <t>Checkliste</t>
    </r>
    <r>
      <rPr>
        <sz val="11"/>
        <color theme="1"/>
        <rFont val="Calibri"/>
        <family val="2"/>
        <scheme val="minor"/>
      </rPr>
      <t xml:space="preserve"> aufgebaut: eine Vielzahl von zu beachtenden bzw. während des Planungsprozesses</t>
    </r>
  </si>
  <si>
    <t>Name und Kontakt Bearbeiter:</t>
  </si>
  <si>
    <t>Anmerkungen:</t>
  </si>
  <si>
    <t>Gewählte Parameter für die Bedarfsermittlung</t>
  </si>
  <si>
    <t>Aus-lastung</t>
  </si>
  <si>
    <t>abgest. Räder</t>
  </si>
  <si>
    <t>Bahnhofsseiten:</t>
  </si>
  <si>
    <t>mit Abschreibungen</t>
  </si>
  <si>
    <t>je Stellplatz (ohne Abschr.)</t>
  </si>
  <si>
    <t>Verbleibender Investitionsbetrag</t>
  </si>
  <si>
    <t>Jährliche Kosten gesamt</t>
  </si>
  <si>
    <t>Einnahmen gesamt</t>
  </si>
  <si>
    <t>ohne Abschreibungen</t>
  </si>
  <si>
    <t>Verbleibendes Saldo aus 
Einnahmen und jährlichen Kosten</t>
  </si>
  <si>
    <t>Ermittelte Herstellungskosten gesamt für B+R-Anlage</t>
  </si>
  <si>
    <r>
      <t>Investitionsfinanzierung gesamt</t>
    </r>
    <r>
      <rPr>
        <sz val="13"/>
        <rFont val="Calibri"/>
        <family val="2"/>
        <scheme val="minor"/>
      </rPr>
      <t xml:space="preserve"> </t>
    </r>
    <r>
      <rPr>
        <i/>
        <sz val="11"/>
        <rFont val="Calibri"/>
        <family val="2"/>
        <scheme val="minor"/>
      </rPr>
      <t>= Herstellungskosten</t>
    </r>
  </si>
  <si>
    <t>Erstellt mit Datei-Version:</t>
  </si>
  <si>
    <t>Zusammenfassung der Bestandseingabe: Stellplätze und abgestellte Räder</t>
  </si>
  <si>
    <t>↘</t>
  </si>
  <si>
    <r>
      <t xml:space="preserve">Bautyp </t>
    </r>
    <r>
      <rPr>
        <sz val="13"/>
        <rFont val="Calibri"/>
        <family val="2"/>
        <scheme val="minor"/>
      </rPr>
      <t>→</t>
    </r>
  </si>
  <si>
    <t>Verteilung des Baubedarfs</t>
  </si>
  <si>
    <t>Bahnhof / Haltepunkt:</t>
  </si>
  <si>
    <t>Art der Berechnung:</t>
  </si>
  <si>
    <t>Druck / PDF: bitte nutzen Sie die Druckfunktion von Excel (im Menü oder Tastenkürzel Strg + P) – es wird nur die Beschreibung/Checkliste unten ausgedruckt</t>
  </si>
  <si>
    <t>Art der Ermittlung des Trendfaktors:</t>
  </si>
  <si>
    <t>Rahmendaten zur Ermittlung des Trendfaktors:</t>
  </si>
  <si>
    <t>Vandalismusschwerpunkt:</t>
  </si>
  <si>
    <t>Hoher Einpendleranteil:</t>
  </si>
  <si>
    <t>Sicheres Abstellen wird kostenfrei angeboten:</t>
  </si>
  <si>
    <t>Ermittelter Trendfaktor:</t>
  </si>
  <si>
    <t>Datum der Berichtserstellung:</t>
  </si>
  <si>
    <t>bzw. Neuerrichtung rückgebauter optimaler Stellplätze</t>
  </si>
  <si>
    <t>am Ende gedruckt bzw. in ein PDF eingebunden.</t>
  </si>
  <si>
    <r>
      <rPr>
        <b/>
        <sz val="14"/>
        <color theme="6" tint="-0.499984740745262"/>
        <rFont val="Calibri"/>
        <family val="2"/>
        <scheme val="minor"/>
      </rPr>
      <t>Druck / PDF</t>
    </r>
    <r>
      <rPr>
        <sz val="14"/>
        <color theme="6" tint="-0.499984740745262"/>
        <rFont val="Calibri"/>
        <family val="2"/>
        <scheme val="minor"/>
      </rPr>
      <t xml:space="preserve">: bitte nutzen Sie die Druckfunktion von Excel (im Menü oder Tastenkürzel Strg + P) – es wird nur der Bestandsaufnahmebogen unten ausgedruckt.
</t>
    </r>
    <r>
      <rPr>
        <b/>
        <sz val="14"/>
        <color theme="6" tint="-0.499984740745262"/>
        <rFont val="Calibri"/>
        <family val="2"/>
        <scheme val="minor"/>
      </rPr>
      <t>Eingabe der Daten</t>
    </r>
    <r>
      <rPr>
        <sz val="14"/>
        <color theme="6" tint="-0.499984740745262"/>
        <rFont val="Calibri"/>
        <family val="2"/>
        <scheme val="minor"/>
      </rPr>
      <t>: Ihre erhobenen Daten geben Sie bitte auf dem Reiter "A ▪ Bestandseingabe" ein.</t>
    </r>
  </si>
  <si>
    <t>temporär entfernt werden müssen, diese nach Abschluss der Baumaßnahmen aber wieder errichtet werden sollen.</t>
  </si>
  <si>
    <t>Handelt es sich bei den rückzubauenden Radabstellanlagen bereits um "optimale" Stellplätze gemäß der Definition auf der Startseite und Ihrer Bestandseingabe oben, dann können Sie</t>
  </si>
  <si>
    <t>Tabellenreiter "Kostenanalyse": D5 zu "Schließfächer" geändert und Einheitswert angepasst</t>
  </si>
  <si>
    <t>Weblinks aktualisiert</t>
  </si>
  <si>
    <t>Kapitaldienst p.a.</t>
  </si>
  <si>
    <t>Bitte klicken und eine Option für die Dateneingabe auswählen…</t>
  </si>
  <si>
    <t>Bei zwei Bahnhofsseiten erhalten Sie später die Möglichkeit, diese für eine Gesamtbetrachtung zusammenzuschalten.</t>
  </si>
  <si>
    <t>Wie möchten Sie Ihre Bestandsdaten unten eingeben?</t>
  </si>
  <si>
    <t>Zwei Eingabespalten: separate Dateneingabe für zwei Bahnhofsseiten</t>
  </si>
  <si>
    <t>Eine Eingabespalte: gesamter Bahnhof/Haltepunkt bzw. nur eine Bahnhofsseite</t>
  </si>
  <si>
    <r>
      <t xml:space="preserve">Förderung 2   </t>
    </r>
    <r>
      <rPr>
        <i/>
        <sz val="11"/>
        <color theme="7" tint="-0.249977111117893"/>
        <rFont val="Calibri"/>
        <family val="2"/>
        <scheme val="minor"/>
      </rPr>
      <t>(hier ggf. Name des Programms / der Förderung ergänzen)</t>
    </r>
  </si>
  <si>
    <r>
      <t xml:space="preserve">Auf dieser Seite wird ein </t>
    </r>
    <r>
      <rPr>
        <b/>
        <sz val="11"/>
        <color theme="1"/>
        <rFont val="Calibri"/>
        <family val="2"/>
        <scheme val="minor"/>
      </rPr>
      <t>Kurzbericht</t>
    </r>
    <r>
      <rPr>
        <sz val="11"/>
        <color theme="1"/>
        <rFont val="Calibri"/>
        <family val="2"/>
        <scheme val="minor"/>
      </rPr>
      <t xml:space="preserve"> generiert. In diesem sind alle Ihre</t>
    </r>
  </si>
  <si>
    <t>Eingaben in den Teilen A bis D sowie die zentralen Berechnungs-</t>
  </si>
  <si>
    <t>Ergänzende Angaben, die auf dem Kurzbericht erscheinen sollen,</t>
  </si>
  <si>
    <t>Der Vor- und Nachlaufanteil B+R am aktuellen Fahrgastaufkommen beträgt mit Ihren Eingaben und gewählten Bahnhofsseiten derzeit:</t>
  </si>
  <si>
    <t>Der Vor- und Nachlaufanteil B+R am aktuellen Fahrgastaufkommen würde bei voller Auslastung aller Radabstellplätze betragen (ohne Wildparker):</t>
  </si>
  <si>
    <t>Kosten, Fördermittel und Erlöse</t>
  </si>
  <si>
    <t>Verbleibendes Saldo aus Einnahmen und jährlichen Kosten (mit Abschreibungen und Berücksichtigung der Zusatzeinnahmen)</t>
  </si>
  <si>
    <t>Tabellenreiter "Kostenanalyse": Bereich P aus Gesamtsalden entfernt, verschoben und P5 ergänzt</t>
  </si>
  <si>
    <t>Jährliche Kosten und Einnhamen</t>
  </si>
  <si>
    <t>Verbleibendes Saldo aus Einnahmen und jährlichen Kosten
(mit Abschreibungen und Berücksichtigung der Zusatzeinnahmen)</t>
  </si>
  <si>
    <t>Ggf. Zusatzeinnahmen durch ÖV-Neukunden</t>
  </si>
  <si>
    <t>Anteil der 
Einnahmen an 
jährlichen Kosten</t>
  </si>
  <si>
    <t>Realistischer Anteil von Neukunden mit Bau der Anlage</t>
  </si>
  <si>
    <t>Projektname</t>
  </si>
  <si>
    <t>Verbleibendes Saldo aus Einnahmen und jährlichen Kosten (mit Abschreibungen):</t>
  </si>
  <si>
    <t>Projektname:</t>
  </si>
  <si>
    <r>
      <rPr>
        <b/>
        <sz val="11"/>
        <rFont val="Calibri"/>
        <family val="2"/>
        <scheme val="minor"/>
      </rPr>
      <t>Bitte übertragen Sie folgende Werte in den Wirkungsrechner:</t>
    </r>
    <r>
      <rPr>
        <sz val="11"/>
        <rFont val="Calibri"/>
        <family val="2"/>
        <scheme val="minor"/>
      </rPr>
      <t xml:space="preserve">
</t>
    </r>
    <r>
      <rPr>
        <i/>
        <sz val="10"/>
        <rFont val="Calibri"/>
        <family val="2"/>
        <scheme val="minor"/>
      </rPr>
      <t>(weitere Informationen zum Wirkungsrechner siehe Startseite)</t>
    </r>
  </si>
  <si>
    <r>
      <t xml:space="preserve">Mitfinanzierung durch ÖV-Neukunden  </t>
    </r>
    <r>
      <rPr>
        <sz val="11"/>
        <color theme="1"/>
        <rFont val="Calibri"/>
        <family val="2"/>
        <scheme val="minor"/>
      </rPr>
      <t>(nur optional – bitte Preis bei P1 und Prozentwert bei P3 eintragen sowie ggf. P2 anpassen, um geschätzte Zusatzeinnahmen zu berechnen)</t>
    </r>
  </si>
  <si>
    <r>
      <t>v3.0</t>
    </r>
    <r>
      <rPr>
        <sz val="10"/>
        <color theme="2"/>
        <rFont val="Calibri"/>
        <family val="2"/>
        <scheme val="minor"/>
      </rPr>
      <t xml:space="preserve"> (11.09.22)</t>
    </r>
  </si>
  <si>
    <t>Diese Datei wurde durch die BahnStadt Planungsgesellschaft für Bahnhofsentwicklung mbH entwickelt.
Änderungen von Inhalten und/oder Berechnungen bedürfen der Zustimmung des Urhebers.</t>
  </si>
  <si>
    <t>Tabellenreiter "Kurzbericht": Formel zur Berechnung des Radverkehrsanteils aktualisiert</t>
  </si>
  <si>
    <t>L und M</t>
  </si>
  <si>
    <t>1 bis 3</t>
  </si>
  <si>
    <t>Tabellenreiter "Kostenanalyse": Dopplung im Bereich K gelsöcht und Nummerierung angepasst</t>
  </si>
  <si>
    <t>Sonderstellplätze</t>
  </si>
  <si>
    <t>Sonderfall Er-
richtung nicht
überdachter Stellplätze hier eintragen*</t>
  </si>
  <si>
    <t>Sonderstellplätze inklusive Gründung/Befestigung/Montage je Stellplatz</t>
  </si>
  <si>
    <t>Abstelltyp "Sonderstellplätze" ergänzt</t>
  </si>
  <si>
    <t>1 bis 5</t>
  </si>
  <si>
    <t xml:space="preserve">  ▪   Erforderlicher Anteil an Stellplätzen mit Nutzungsentgelt (A7) für Neukunden</t>
  </si>
  <si>
    <t>Klick = A7 bearbeiten</t>
  </si>
  <si>
    <t>Anzahl Stellplätze mit Entgelt aus A1 bis A5</t>
  </si>
  <si>
    <t>Anlagenwartung und Reinigung (% von A1-5, D1-5)</t>
  </si>
  <si>
    <t>Errichtung
inklusive Überdachung</t>
  </si>
  <si>
    <t>Sonderstellplätze (z.B. für Lastenräder)</t>
  </si>
  <si>
    <r>
      <t>Sonderstellplätze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(z.B. Lastenräder)</t>
    </r>
  </si>
  <si>
    <t>Sonderstellplätze (z.B. für Lastenräder, Fahrradanhänger):</t>
  </si>
  <si>
    <r>
      <rPr>
        <b/>
        <sz val="14"/>
        <color theme="7" tint="-0.249977111117893"/>
        <rFont val="Calibri"/>
        <family val="2"/>
        <scheme val="minor"/>
      </rPr>
      <t>2.</t>
    </r>
    <r>
      <rPr>
        <b/>
        <sz val="11"/>
        <color theme="7" tint="-0.249977111117893"/>
        <rFont val="Calibri"/>
        <family val="2"/>
        <scheme val="minor"/>
      </rPr>
      <t xml:space="preserve"> Zuordnung der Bautypen zu Abstelltypen für die Kostenanalyse</t>
    </r>
  </si>
  <si>
    <t>inkl. Gründung/Montage je Stellplatz</t>
  </si>
  <si>
    <t>Planungstool Radparken – Bedarfs- und Kostenrechner / Projektbeschreibung</t>
  </si>
  <si>
    <t>Gesicherte Stellplätze</t>
  </si>
  <si>
    <t>FPH %</t>
  </si>
  <si>
    <r>
      <rPr>
        <b/>
        <sz val="11"/>
        <color theme="9" tint="-0.249977111117893"/>
        <rFont val="Calibri"/>
        <family val="2"/>
        <scheme val="minor"/>
      </rPr>
      <t>Bitte beachten</t>
    </r>
    <r>
      <rPr>
        <sz val="11"/>
        <color theme="9" tint="-0.249977111117893"/>
        <rFont val="Calibri"/>
        <family val="2"/>
        <scheme val="minor"/>
      </rPr>
      <t>: in den Berechnungen sind Rundungsdifferenzen insbesondere bei kleinen Stellplatzanzahlen möglich, da berechnete Werte stets auf ganze Stellplatzzahlen aufgerundet werden.</t>
    </r>
  </si>
  <si>
    <t>SSA / FB</t>
  </si>
  <si>
    <r>
      <t>FPH ∑</t>
    </r>
    <r>
      <rPr>
        <b/>
        <sz val="11"/>
        <color rgb="FF00B0F0"/>
        <rFont val="Calibri"/>
        <family val="2"/>
        <scheme val="minor"/>
      </rPr>
      <t>*</t>
    </r>
  </si>
  <si>
    <r>
      <t>FPH</t>
    </r>
    <r>
      <rPr>
        <b/>
        <sz val="11"/>
        <color rgb="FF00B0F0"/>
        <rFont val="Calibri"/>
        <family val="2"/>
        <scheme val="minor"/>
      </rPr>
      <t>*</t>
    </r>
  </si>
  <si>
    <t>↑ offen</t>
  </si>
  <si>
    <t>↑ sicher</t>
  </si>
  <si>
    <t>(offen)</t>
  </si>
  <si>
    <t>Ermittelter Baubedarf und Verteilung der Stellplätze</t>
  </si>
  <si>
    <t>davon gesichert</t>
  </si>
  <si>
    <t>Anteil gesicherter Stellplätze im Fahrradparkhaus
(interne Voreinstellung* = 100 %):</t>
  </si>
  <si>
    <t>Nutzungsentgelte Radabstellung bei realistischer Auslastung</t>
  </si>
  <si>
    <t>bislang offen zugängliche Anlage wird hier nicht betrachtet</t>
  </si>
  <si>
    <t>Möglichkeit zur Festlegung des Anteils gesicherter Stellplätze im Fahrradparkhaus ergänzt</t>
  </si>
  <si>
    <t>Die folgende Grafik veranschaulicht die Bau- und Abstelltypen sowie die Bewertungskategorien "optimal", "optimal gesichert", "nicht-optimal" und "Wildparker". Die Zuordnung von</t>
  </si>
  <si>
    <r>
      <rPr>
        <b/>
        <sz val="11"/>
        <color theme="1"/>
        <rFont val="Calibri"/>
        <family val="2"/>
        <scheme val="minor"/>
      </rPr>
      <t>Definition "gesichert"</t>
    </r>
    <r>
      <rPr>
        <sz val="11"/>
        <color theme="1"/>
        <rFont val="Calibri"/>
        <family val="2"/>
        <scheme val="minor"/>
      </rPr>
      <t>: als "gesicherte Stellplätze", "sicheres Abstellen" oder ähnliche Formulierungen sind in diesem Planungstool all jene Stellplätze gemeint, die nur über eine</t>
    </r>
  </si>
  <si>
    <t>Zugangssicherung erreicht werden können und sich i.d.R. auch in einer vollständig eingezäunten bzw. baulich abgeschlossenen Anlage befinden. Das jeweilige Zugangssystem kann je nach</t>
  </si>
  <si>
    <t xml:space="preserve">  ▪   sowohl differenziert nach Bautypen (freistehend, überdacht, gesichert) sowie Abstelltypen (Vorderradhalter, Anlehnbügel etc.),</t>
  </si>
  <si>
    <t xml:space="preserve">  ▪   Wichtig für die Akzeptanz einer Radabstellanlage ist neben ihrer Ausstattung (u.a. Überdachung, Zugangssicherung) auch die Lage. Je Anlagentyp gibt es verschiedene Richtwerte für die </t>
  </si>
  <si>
    <t>…und gesichert</t>
  </si>
  <si>
    <t>Erstmaliger bzw. erhöhter Bedarf an gesicherten Stellplätzen</t>
  </si>
  <si>
    <t>Wenn an Bahnhöfen / Haltepunkten bisher keine optimalen, gesicherten Stellplätze (Definition siehe Reiter "Weitere Informationen") vorhanden sind und eine gesicherte Radabstellanlage</t>
  </si>
  <si>
    <t xml:space="preserve">  ▪   wenn die Bedarfsberechnung einen Baubedarf ermittelt, werden 24 Stellplätze (marktübliche Mindestgröße) für gesichertes Abstellen reserviert,</t>
  </si>
  <si>
    <t xml:space="preserve">  ▪   wenn die Bedarfsberechnung keinen Baubedarf (oder Baubedarf weniger als 24 Stellplätze) ermittelt, werden 24 Stellplätze für gesichertes Abstellen als Baubedarf angenommen.</t>
  </si>
  <si>
    <t>Sie haben in Teil C die Möglichkeit, den Anteil gesicherter Stellplätze für die Kostenberechnung weiter zu erhöhen (im Rahmen des ermittelten Baubedarfs).</t>
  </si>
  <si>
    <t>Ferner haben Sie folgende Zuschlags-Optionen für die Bedarfsberechnung gesicherter Stellplätze (bezogen auf erstmaligen Bedarf als auch auf den vorhandenen Bestand):</t>
  </si>
  <si>
    <t xml:space="preserve">       wird der Bedarf an gesicherten Stellplätzen zusätzlich zu den in der Bedarfsermittlung ermittelten sicheren Abstellplätzen erhöht.</t>
  </si>
  <si>
    <t xml:space="preserve">  ▪   Bitte geben Sie auch an, ob sicheres Abstellen kostenfrei angeboten wird; die benötigte Anzahl gesicherter Stellplätze am Bahnhof / Haltepunkt wird dann ebenfalls weiter erhöht.</t>
  </si>
  <si>
    <t xml:space="preserve">  ▪   An Bahnhöfen / Haltepunkten mit hohem Einpendleranteil kann u.U. ebenfalls eine zusätzliche Erhöhung der gesicherten Stellplätze nötig sein.</t>
  </si>
  <si>
    <r>
      <t xml:space="preserve">Jede der o.g. drei Zuschlags-Optionen erhöht den ermittelten Bedarf an gesicherten Stellplätzen um jeweils </t>
    </r>
    <r>
      <rPr>
        <b/>
        <sz val="11"/>
        <color theme="1"/>
        <rFont val="Calibri"/>
        <family val="2"/>
        <scheme val="minor"/>
      </rPr>
      <t>15 %</t>
    </r>
    <r>
      <rPr>
        <sz val="11"/>
        <color theme="1"/>
        <rFont val="Calibri"/>
        <family val="2"/>
        <scheme val="minor"/>
      </rPr>
      <t>.</t>
    </r>
  </si>
  <si>
    <t>Erstmalige Errichtung optimaler gesicherter Stellplätze</t>
  </si>
  <si>
    <t>Kostenfreies, gesichertes Abstellen</t>
  </si>
  <si>
    <t>Ist es angedacht, sicheres Abstellen von Fahrrädern in einer gesicherten Anlage kostenfrei anzubieten?</t>
  </si>
  <si>
    <t>optimal und gesichert</t>
  </si>
  <si>
    <t>optimal, nicht gesichert</t>
  </si>
  <si>
    <r>
      <t xml:space="preserve">  ▪   24 </t>
    </r>
    <r>
      <rPr>
        <u/>
        <sz val="11"/>
        <color theme="1"/>
        <rFont val="Calibri"/>
        <family val="2"/>
        <scheme val="minor"/>
      </rPr>
      <t>Stellplätze</t>
    </r>
    <r>
      <rPr>
        <sz val="11"/>
        <color theme="1"/>
        <rFont val="Calibri"/>
        <family val="2"/>
        <scheme val="minor"/>
      </rPr>
      <t xml:space="preserve"> vom Baubedarf werden als </t>
    </r>
    <r>
      <rPr>
        <b/>
        <sz val="11"/>
        <color theme="6" tint="-0.249977111117893"/>
        <rFont val="Calibri"/>
        <family val="2"/>
        <scheme val="minor"/>
      </rPr>
      <t>Mindestbedarf</t>
    </r>
    <r>
      <rPr>
        <sz val="11"/>
        <color theme="1"/>
        <rFont val="Calibri"/>
        <family val="2"/>
        <scheme val="minor"/>
      </rPr>
      <t xml:space="preserve"> für gesichertes Abstellen reserviert</t>
    </r>
  </si>
  <si>
    <r>
      <t xml:space="preserve">Errichtung zusätzlicher, gesicherter Stellplätze (Erhöhung Bau- und </t>
    </r>
    <r>
      <rPr>
        <b/>
        <sz val="11"/>
        <color theme="6" tint="-0.249977111117893"/>
        <rFont val="Calibri"/>
        <family val="2"/>
        <scheme val="minor"/>
      </rPr>
      <t>Mindestbedarf</t>
    </r>
    <r>
      <rPr>
        <sz val="11"/>
        <color theme="1"/>
        <rFont val="Calibri"/>
        <family val="2"/>
        <scheme val="minor"/>
      </rPr>
      <t>) aufgrund:</t>
    </r>
  </si>
  <si>
    <t>davon Mindestbedarf an gesicherten Stellplätzen</t>
  </si>
  <si>
    <t xml:space="preserve">       c)   ...der ermittelte Mindestbedarf an gesicherten Stellplätzen wurde dabei unterschritten, dann wird der verteilte Wert bei der Sammelschließanlage entsprechend erhöht.</t>
  </si>
  <si>
    <t xml:space="preserve">  ▪   Sie können den Schwellenwert für das Fahrradparkhaus ändern, sowie den Anteil der gesicherten Stellplätze im Fahrradparkhaus verringern (Voreinstellung: 100 %).</t>
  </si>
  <si>
    <t xml:space="preserve">  ▪   Bitte verteilen Sie hier die einzelnen Stellplätze auf die verschiedenen für den jeweiligen Bautyp möglichen Abstelltypen:</t>
  </si>
  <si>
    <t xml:space="preserve">       Anlehnbügel, Reihenbügel, Doppelstockparker, Sonderstellplätze (z.B. Lastenräder), Fahrradboxen.</t>
  </si>
  <si>
    <t xml:space="preserve">  ▪   davon Mindestbedarf für gesicherte Stellplätze</t>
  </si>
  <si>
    <t>Anlagentyp unterschiedlich ausgeprägt sein: z.B. PIN-Code, RFID-Chip, QR-Scanner, Schlüssel etc.</t>
  </si>
  <si>
    <t>Optionen für Zuschläge bei
gesicherten Stellplätzen:</t>
  </si>
  <si>
    <t>Erstmalige Errichtung gesicherter Stellplätze:</t>
  </si>
  <si>
    <t>davon Mindestbedarf für gesicherte Stellplätze</t>
  </si>
  <si>
    <t>optimal + gesichert</t>
  </si>
  <si>
    <t>Preis je kWh:</t>
  </si>
  <si>
    <r>
      <t xml:space="preserve">Elektroenergie (jährliche Kosten – </t>
    </r>
    <r>
      <rPr>
        <i/>
        <sz val="11"/>
        <color theme="1"/>
        <rFont val="Calibri"/>
        <family val="2"/>
        <scheme val="minor"/>
      </rPr>
      <t>hier klicken für Berechnungserläuterung</t>
    </r>
    <r>
      <rPr>
        <sz val="11"/>
        <color theme="1"/>
        <rFont val="Calibri"/>
        <family val="2"/>
        <scheme val="minor"/>
      </rPr>
      <t>)</t>
    </r>
  </si>
  <si>
    <t>Tabellenreiter "Kostenanalyse": Berechnung L1 geändert: Preis je kWh kann nun angegeben werden</t>
  </si>
  <si>
    <t>Definition ergänzt: "gesicherte Stellplätze / sicheres Abstellen" u.ä. und dateiweite Vereinheitlichung</t>
  </si>
  <si>
    <t>nein</t>
  </si>
  <si>
    <t>Herstellung Bodenbelag (z.B. Pflasterung, Fundamente)</t>
  </si>
  <si>
    <t>Gebäudekonstruktion inklusive Gründung, Böden, Decken, Fassaden</t>
  </si>
  <si>
    <t xml:space="preserve">  ▪   Sie können die Vernetzungsstelle Bike-and-Ride jederzeit bei Fragen zu allen Themen rund um das Fahrradparken an Ihrem Bahnhof kontaktieren.</t>
  </si>
  <si>
    <t>Radabstellplatz in Sammelschließanlage</t>
  </si>
  <si>
    <t>Radabstellplatz in einer Fahrradbox</t>
  </si>
  <si>
    <t>Radabstellplatz im Fahrradparkhaus / Radstation</t>
  </si>
  <si>
    <t>1c</t>
  </si>
  <si>
    <t>Förderung 1 : RiLi ÖPNV-Invest des Landes Brandenburg (Stand 2022)</t>
  </si>
  <si>
    <t>6a</t>
  </si>
  <si>
    <t>6b</t>
  </si>
  <si>
    <t>davon gesicherte Abstellplätze im Fahrradparkhaus / Radstation</t>
  </si>
  <si>
    <t>RiLi ÖPNV-Invest des Landes Brandenburg</t>
  </si>
  <si>
    <t>Radabstellplatz (ebenerdig, ungesichert)</t>
  </si>
  <si>
    <t>V_ARBEIT</t>
  </si>
  <si>
    <t>6c</t>
  </si>
  <si>
    <t>davon gesicherte Abstellplätze in Sammelschließanlage</t>
  </si>
  <si>
    <t>davon gesicherte Abstellplätze in Fahrradboxen</t>
  </si>
  <si>
    <t>Tabellenreiter "Kostenanalyse": Fördersätze RiLi ÖPNV-Invest ergänzt und Berechnungen angepasst</t>
  </si>
  <si>
    <r>
      <t>v3.1</t>
    </r>
    <r>
      <rPr>
        <sz val="10"/>
        <color theme="2"/>
        <rFont val="Calibri"/>
        <family val="2"/>
        <scheme val="minor"/>
      </rPr>
      <t xml:space="preserve"> (07.11.22)</t>
    </r>
  </si>
  <si>
    <t>ARBEITSDATEI VBB -
NUR INTERN NUTZEN</t>
  </si>
  <si>
    <t>← Eingabe prüfen: Wert/Summen zu hoch</t>
  </si>
  <si>
    <t>Anwendungszweck und Leitfaden</t>
  </si>
  <si>
    <t>Welche der drei Eingabeoptionen für die Berechnung des Trendfaktors möchten Sie verwenden?</t>
  </si>
  <si>
    <r>
      <t xml:space="preserve">  ▪   </t>
    </r>
    <r>
      <rPr>
        <b/>
        <sz val="11"/>
        <color theme="1"/>
        <rFont val="Calibri"/>
        <family val="2"/>
        <scheme val="minor"/>
      </rPr>
      <t>Abfrage der Prognosedaten beim VBB</t>
    </r>
    <r>
      <rPr>
        <sz val="11"/>
        <color theme="1"/>
        <rFont val="Calibri"/>
        <family val="2"/>
        <scheme val="minor"/>
      </rPr>
      <t xml:space="preserve">   (hierzu kontaktieren Sie bitte die Vernetzungsstelle B+R)   </t>
    </r>
    <r>
      <rPr>
        <i/>
        <u/>
        <sz val="11"/>
        <color theme="1"/>
        <rFont val="Calibri"/>
        <family val="2"/>
        <scheme val="minor"/>
      </rPr>
      <t>oder</t>
    </r>
  </si>
  <si>
    <t>Abfrage der Prognosedaten beim VBB (Vernetzungsstelle B+R)</t>
  </si>
  <si>
    <r>
      <t xml:space="preserve">  ▪   </t>
    </r>
    <r>
      <rPr>
        <b/>
        <sz val="11"/>
        <color theme="1"/>
        <rFont val="Calibri"/>
        <family val="2"/>
        <scheme val="minor"/>
      </rPr>
      <t>Manuelle Eingabe</t>
    </r>
    <r>
      <rPr>
        <sz val="11"/>
        <color theme="1"/>
        <rFont val="Calibri"/>
        <family val="2"/>
        <scheme val="minor"/>
      </rPr>
      <t xml:space="preserve"> eines Trendfaktors, wenn Sie für keine der beiden o.g. Punkte entsprechende Prognosewerte haben.</t>
    </r>
  </si>
  <si>
    <t>Prognosedaten vom VBB (Vernetzungsstelle B+R)</t>
  </si>
  <si>
    <t>Bitte geben Sie für die Ermittlung des Radverkehrsanteils auch die aktuelle Zahl der Ein- und Aussteiger am Bahnhof / Haltepunkt ein. Diese erhalten Sie ebenfalls von der Vernetzungsstelle B+R.</t>
  </si>
  <si>
    <t>Tabellenreiter "Kostenanalyse": A6 erweitert zu A6a bis A6c</t>
  </si>
  <si>
    <t>Zuwendungsfähige Bauausgaben für Stellplätze</t>
  </si>
  <si>
    <t>Grunderwerb</t>
  </si>
  <si>
    <t>Planungsförderung</t>
  </si>
  <si>
    <t>1d</t>
  </si>
  <si>
    <t>Mehraufwendungen bspw. in den Bereichen Gründung/Tiefbau, Entwässerung, Zuwegung</t>
  </si>
  <si>
    <t>Umsatzsteuer</t>
  </si>
  <si>
    <t>1e</t>
  </si>
  <si>
    <t>Förderung RiLi ÖPNV-Invest</t>
  </si>
  <si>
    <t>1 a – e</t>
  </si>
  <si>
    <r>
      <t>Weitere zuwendungsfähige Kosten</t>
    </r>
    <r>
      <rPr>
        <i/>
        <sz val="10"/>
        <rFont val="Calibri"/>
        <family val="2"/>
        <scheme val="minor"/>
      </rPr>
      <t xml:space="preserve">   (im Einzelfall mit dem Fördergeber abzustimmen)</t>
    </r>
  </si>
  <si>
    <r>
      <t xml:space="preserve">Förderung der Umsatzsteuer für 1a bis 1c  </t>
    </r>
    <r>
      <rPr>
        <i/>
        <sz val="10"/>
        <rFont val="Calibri"/>
        <family val="2"/>
        <scheme val="minor"/>
      </rPr>
      <t>(wenn unter F1 angegeben)</t>
    </r>
  </si>
  <si>
    <r>
      <t>Pauschalförderung der zuwendungsfähigen Baukosten (15 %)</t>
    </r>
    <r>
      <rPr>
        <i/>
        <sz val="10"/>
        <rFont val="Calibri"/>
        <family val="2"/>
        <scheme val="minor"/>
      </rPr>
      <t xml:space="preserve">   (Summe 1a und 1b)</t>
    </r>
  </si>
  <si>
    <r>
      <t>Förderung Grunderwerb und Grunderwerbsnebenkosten (50 %)</t>
    </r>
    <r>
      <rPr>
        <i/>
        <sz val="10"/>
        <rFont val="Calibri"/>
        <family val="2"/>
        <scheme val="minor"/>
      </rPr>
      <t xml:space="preserve">   (Übertrag aus F2)</t>
    </r>
  </si>
  <si>
    <t>Förderung höher als Herstellungkosten!</t>
  </si>
  <si>
    <r>
      <rPr>
        <b/>
        <sz val="11"/>
        <color theme="2" tint="-0.499984740745262"/>
        <rFont val="Calibri"/>
        <family val="2"/>
        <scheme val="minor"/>
      </rPr>
      <t>Fördersatz in %:</t>
    </r>
    <r>
      <rPr>
        <sz val="11"/>
        <color theme="2" tint="-0.499984740745262"/>
        <rFont val="Calibri"/>
        <family val="2"/>
        <scheme val="minor"/>
      </rPr>
      <t xml:space="preserve">
</t>
    </r>
    <r>
      <rPr>
        <i/>
        <sz val="9"/>
        <color theme="2" tint="-0.499984740745262"/>
        <rFont val="Calibri"/>
        <family val="2"/>
        <scheme val="minor"/>
      </rPr>
      <t>leer = kein zweites Förderprogramm</t>
    </r>
  </si>
  <si>
    <t>Datum / Uhrzeit</t>
  </si>
  <si>
    <t>Bearbeiter</t>
  </si>
  <si>
    <t>Datum</t>
  </si>
  <si>
    <t>Uhrzeit</t>
  </si>
  <si>
    <t>1. Bestandsaufnahme</t>
  </si>
  <si>
    <t>2. Bestandsaufnahme</t>
  </si>
  <si>
    <t>3. Bestandsaufnahme</t>
  </si>
  <si>
    <t>4. Bestandsaufnahme</t>
  </si>
  <si>
    <t>5. Bestandsaufnahme</t>
  </si>
  <si>
    <t xml:space="preserve">
Bestandsaufnahme(n)</t>
  </si>
  <si>
    <t>Bestandsaufnahme(n) vom:</t>
  </si>
  <si>
    <t>TBS_4</t>
  </si>
  <si>
    <t>Merged:</t>
  </si>
  <si>
    <t>Beispiel-Position</t>
  </si>
  <si>
    <t>▲   In diesem Feld können Sie die Voreinstellung mit einem eigenen Wert überschreiben.</t>
  </si>
  <si>
    <r>
      <t xml:space="preserve">Übernahme aus A 1 – 7  </t>
    </r>
    <r>
      <rPr>
        <i/>
        <sz val="8"/>
        <color theme="2" tint="-0.499984740745262"/>
        <rFont val="Calibri"/>
        <family val="2"/>
        <scheme val="minor"/>
      </rPr>
      <t>▼</t>
    </r>
  </si>
  <si>
    <t>Reihenbügelanlage</t>
  </si>
  <si>
    <t>Fahrradbox</t>
  </si>
  <si>
    <t>Seitenwände</t>
  </si>
  <si>
    <t>Zugangssystem</t>
  </si>
  <si>
    <t>Richtwerte zur Ermittlung der Grundfläche (für B1, B2, C1 und D3)</t>
  </si>
  <si>
    <t>Weitere Richtwerte (für B3 und B4, D1 und D2)</t>
  </si>
  <si>
    <t>Die ermittelte Grundfläche wird als Quadrat angenommen,</t>
  </si>
  <si>
    <t xml:space="preserve">vom dem der Umfang berechnet und mit 3 m </t>
  </si>
  <si>
    <t>Türen und</t>
  </si>
  <si>
    <t>Wandhöhe multipliziert wird (= Fläche B3)</t>
  </si>
  <si>
    <t>2 m² je Stück = 1 m² je Stellplatz zzgl. 20 % Erschließungsflächen</t>
  </si>
  <si>
    <t>1,5 m² je Stück = 0,75 m² je Stellplatz zzgl. 25 % Erschließungsfläche</t>
  </si>
  <si>
    <t>2,5 m² je Stellplatz zzgl. 25 % Erschließungsfläche</t>
  </si>
  <si>
    <t>2,5 m² je Stellplatz zzgl. 20 % Erschließungsfläche</t>
  </si>
  <si>
    <t>VA_Zusammen:</t>
  </si>
  <si>
    <t>VA_Kostenanalyse:</t>
  </si>
  <si>
    <t>Im Fahrradparkhaus (wenn gesicherte Stellplätze vorhanden):</t>
  </si>
  <si>
    <t>zwei große Zugangssysteme (D2)</t>
  </si>
  <si>
    <t>eine Tür (B4) mit kleinem Zuganssystem (D1)</t>
  </si>
  <si>
    <t xml:space="preserve">In Sammelschließanlage: je 80 m² Grundfläche </t>
  </si>
  <si>
    <t>Grundfläche</t>
  </si>
  <si>
    <t>Lage / Art</t>
  </si>
  <si>
    <t>SSA / 1</t>
  </si>
  <si>
    <t>FPH / 1</t>
  </si>
  <si>
    <t>SSA / 2</t>
  </si>
  <si>
    <t>FPH / 2</t>
  </si>
  <si>
    <t>Dachfläche</t>
  </si>
  <si>
    <t>Nachrüstung Dach</t>
  </si>
  <si>
    <t>mit Dach</t>
  </si>
  <si>
    <t>ohne Dach</t>
  </si>
  <si>
    <t>sicher</t>
  </si>
  <si>
    <t>ÜAA / 1</t>
  </si>
  <si>
    <t>ÜAA / 2</t>
  </si>
  <si>
    <t>ÜAA</t>
  </si>
  <si>
    <t>Richtwerte und Voreinstrellungen Kostenanalyse</t>
  </si>
  <si>
    <t>Sichere Fläche</t>
  </si>
  <si>
    <t>Wenn Ihre Bestandseingabe und Ergebnisjustierung zwei Bahnhofsseiten umfasste, wird dies bei den Voreinstellungen berücksichtigt.</t>
  </si>
  <si>
    <t>Bei der Eingabe eigener Bestandsdaten (ohne Übernahme aus Teil C) werden keine Werte voreingestellt. Sie können sich für Ihre manuelle Berechnung an den Richtwerten orientieren.</t>
  </si>
  <si>
    <t>VA_Bestandseing.</t>
  </si>
  <si>
    <t>Fbox / 1</t>
  </si>
  <si>
    <t>Fbox / 2</t>
  </si>
  <si>
    <t>Beleuchtung</t>
  </si>
  <si>
    <t>Tabellenreiter "Kostenanalyse": Übernahme von Voreinstellungen/Richtwerten für Kosten</t>
  </si>
  <si>
    <t>In diesem Feld steht die automatisch ermittelte Voreinstellung.   ▲</t>
  </si>
  <si>
    <t>aus. Das Leeren des grünen Feldes (mit ENTF-Taste) führt zur erneuten Übernahme der Voreinstellung.</t>
  </si>
  <si>
    <t>ändern und auf projektspezifische Werte anpassen, indem Sie in das grüne Feld rechts davon einen eigenen Wert eintragen. Das Eintragen einer Null schließt die Position aus der Kostenanalyse</t>
  </si>
  <si>
    <t xml:space="preserve">  ▪   Weitere ergänzende Informationen rund um das Fahrradparken an Bahnhöfen mit u.a. Darstellungen der verschiedenen Abstell- und Bautypen sowie Fotos von  Best-Pratice-Abstellanlagen</t>
  </si>
  <si>
    <t xml:space="preserve">       im Land Brandenburg finden Sie im Leitfaden "Parken am Bahnhof" des VBB, den Sie sich von unserer Webseite herunterladen können (hier klicken):</t>
  </si>
  <si>
    <t xml:space="preserve">  ▪   Hinweise zur richtigen Bestandsaufnahme finden Sie auch im Leitfaden "Parken am Bahnhof" des VBB (einen Download-Link finden Sie auf der Startseite).</t>
  </si>
  <si>
    <t>Herstellungskosten je Stellplatz</t>
  </si>
  <si>
    <t>Baukosten aus E0 je Stellplatz</t>
  </si>
  <si>
    <t xml:space="preserve">      ↓</t>
  </si>
  <si>
    <r>
      <t xml:space="preserve">Bitte beachten Sie, dass eine </t>
    </r>
    <r>
      <rPr>
        <i/>
        <u/>
        <sz val="11"/>
        <color theme="6" tint="-0.499984740745262"/>
        <rFont val="Calibri"/>
        <family val="2"/>
        <scheme val="minor"/>
      </rPr>
      <t>PDF-Erstellung</t>
    </r>
    <r>
      <rPr>
        <i/>
        <sz val="11"/>
        <color theme="6" tint="-0.499984740745262"/>
        <rFont val="Calibri"/>
        <family val="2"/>
        <scheme val="minor"/>
      </rPr>
      <t xml:space="preserve"> von Ihrer Excel-Version bzw. lokalen Konfiguration abhängig ist; im Zweifel wenden Sie sich bitte an Ihren IT-Verantwortlichen.</t>
    </r>
  </si>
  <si>
    <t>Nach der Übernahme der Daten aus Teil C werden automatisch Voreinstellungen für die Kostenberechnung gemäß nachfolgender Richtwerte eingetragen. Die Voreinstellungen können Sie</t>
  </si>
  <si>
    <r>
      <t xml:space="preserve">Änderung Schwellenwert (interne Voreinstellung* = 500):
</t>
    </r>
    <r>
      <rPr>
        <i/>
        <sz val="10"/>
        <color theme="7" tint="-0.249977111117893"/>
        <rFont val="Calibri"/>
        <family val="2"/>
        <scheme val="minor"/>
      </rPr>
      <t>(ab welchem Gesamtbaubedarf soll ein Fahrradparkhaus entstehen)</t>
    </r>
  </si>
  <si>
    <t>Tabellenreiter "Ergebnisjustierung": Voreinstellung Schwellenwert für Fahrradparkhaus auf 500 erhöht</t>
  </si>
  <si>
    <t>V_FPH:</t>
  </si>
  <si>
    <r>
      <t xml:space="preserve">       a)   Bei Überschreitung eines Schwellenwerts von 500 Stellplätzen Baubedarf: Zuordnung zu </t>
    </r>
    <r>
      <rPr>
        <b/>
        <sz val="11"/>
        <color theme="1"/>
        <rFont val="Calibri"/>
        <family val="2"/>
        <scheme val="minor"/>
      </rPr>
      <t>Fahrradparkhaus</t>
    </r>
    <r>
      <rPr>
        <sz val="11"/>
        <color theme="1"/>
        <rFont val="Calibri"/>
        <family val="2"/>
        <scheme val="minor"/>
      </rPr>
      <t>.</t>
    </r>
  </si>
  <si>
    <r>
      <t xml:space="preserve">Regelfördersatz für 1a, 1b und 1d: </t>
    </r>
    <r>
      <rPr>
        <b/>
        <u/>
        <sz val="11"/>
        <color theme="4" tint="-0.249977111117893"/>
        <rFont val="Calibri"/>
        <family val="2"/>
        <scheme val="minor"/>
      </rPr>
      <t>80 %</t>
    </r>
    <r>
      <rPr>
        <sz val="11"/>
        <color theme="4" tint="-0.249977111117893"/>
        <rFont val="Calibri"/>
        <family val="2"/>
        <scheme val="minor"/>
      </rPr>
      <t xml:space="preserve">
</t>
    </r>
    <r>
      <rPr>
        <sz val="10"/>
        <color theme="4" tint="-0.249977111117893"/>
        <rFont val="Calibri"/>
        <family val="2"/>
        <scheme val="minor"/>
      </rPr>
      <t>Abweichungen nach Abstimmung mit dem Fördermittelgeber möglich
(in vielen Fällen bis 90 % – Rücksprache mit VBB)</t>
    </r>
  </si>
  <si>
    <t>Tabellenreiter "Startseite": Grafik "Schema der Bestandsermittlung" aktualisiert</t>
  </si>
  <si>
    <t>Sie können den Trendfaktor anhand einer der folgenden drei Optionen ermitteln:</t>
  </si>
  <si>
    <t>Tabellenreiter "Zählung Bestand": Ergänzung Textbausteine zu Waisenrädern, zum seitlichen Bügelabstand bei Anlehnbügeln und zu nicht nutzbaren Stellplätzen</t>
  </si>
  <si>
    <t>Tabellenreiter "Bestandseingabe" und "Kurzbericht": Datum/Uhrzeit/Bearbeiter der Bestandsaufnahme sowie "nicht nutzbare Stellplätze" ergänzt</t>
  </si>
  <si>
    <r>
      <t xml:space="preserve">  ▪   Bitte achten Sie bei der Zählung von Anlehnbügeln darauf, dass alle Stellplätze </t>
    </r>
    <r>
      <rPr>
        <b/>
        <sz val="11"/>
        <color theme="1"/>
        <rFont val="Calibri"/>
        <family val="2"/>
        <scheme val="minor"/>
      </rPr>
      <t>bequem nutzbar</t>
    </r>
    <r>
      <rPr>
        <sz val="11"/>
        <color theme="1"/>
        <rFont val="Calibri"/>
        <family val="2"/>
        <scheme val="minor"/>
      </rPr>
      <t xml:space="preserve"> sind. Sollte der </t>
    </r>
    <r>
      <rPr>
        <b/>
        <sz val="11"/>
        <color theme="1"/>
        <rFont val="Calibri"/>
        <family val="2"/>
        <scheme val="minor"/>
      </rPr>
      <t>seitliche Abstand der Bügel zu eng</t>
    </r>
    <r>
      <rPr>
        <sz val="11"/>
        <color theme="1"/>
        <rFont val="Calibri"/>
        <family val="2"/>
        <scheme val="minor"/>
      </rPr>
      <t xml:space="preserve"> sein (i.d.R. bei freistehenden Bügeln mit</t>
    </r>
  </si>
  <si>
    <t xml:space="preserve">       z.B. eine Dachstütze blockiert oder der Bügel zu eng an einer Außenwand stehen, so ist hier kein Stellplatz zu zählen. Bitte nehmen Sie nicht nutzbare Stellplätze bei der Bestandsaufnahme mit</t>
  </si>
  <si>
    <t xml:space="preserve">       auf und geben sie diese in der Bestandseingabe in das entsprechendes Eingabefeld ein. Die Summe dieser Stellplätze erscheint auch im Kurzbericht.</t>
  </si>
  <si>
    <t xml:space="preserve">       Seitenabstand &lt;100 cm, meist erkennbar durch überwiegende einseitige Benutzung auch bei hoher Auslastung), so sollte auch nur ein Stellplatz je Bügel gezählt werden. Wird ein Stellplatz durch</t>
  </si>
  <si>
    <r>
      <rPr>
        <b/>
        <sz val="14"/>
        <color theme="1"/>
        <rFont val="Calibri"/>
        <family val="2"/>
        <scheme val="minor"/>
      </rPr>
      <t>Anzahl Wildparker</t>
    </r>
    <r>
      <rPr>
        <sz val="11"/>
        <color theme="1"/>
        <rFont val="Calibri"/>
        <family val="2"/>
        <scheme val="minor"/>
      </rPr>
      <t xml:space="preserve"> :</t>
    </r>
  </si>
  <si>
    <t>Anzahl nicht
nutzbarer
Stellplätze:</t>
  </si>
  <si>
    <t>Nicht nutzbare Stellplätze</t>
  </si>
  <si>
    <t>Wildparker / ni-nuzt</t>
  </si>
  <si>
    <t>ni-nutz</t>
  </si>
  <si>
    <r>
      <t>v3.2</t>
    </r>
    <r>
      <rPr>
        <sz val="10"/>
        <color theme="2"/>
        <rFont val="Calibri"/>
        <family val="2"/>
        <scheme val="minor"/>
      </rPr>
      <t xml:space="preserve"> (17.04.2023)</t>
    </r>
  </si>
  <si>
    <t>Tabellenreiter "Kurzbericht" ergänzt</t>
  </si>
  <si>
    <r>
      <t>v3.3</t>
    </r>
    <r>
      <rPr>
        <sz val="10"/>
        <color theme="2"/>
        <rFont val="Calibri"/>
        <family val="2"/>
        <scheme val="minor"/>
      </rPr>
      <t xml:space="preserve"> (28.04.2023)</t>
    </r>
  </si>
  <si>
    <r>
      <t xml:space="preserve">  ▪   Das vorliegende Planungstool Radparken erfordert mindestens Excel 2007 und hat die Versionsnummer  </t>
    </r>
    <r>
      <rPr>
        <b/>
        <sz val="11"/>
        <rFont val="Calibri"/>
        <family val="2"/>
        <scheme val="minor"/>
      </rPr>
      <t>3.3</t>
    </r>
    <r>
      <rPr>
        <sz val="11"/>
        <rFont val="Calibri"/>
        <family val="2"/>
        <scheme val="minor"/>
      </rPr>
      <t xml:space="preserve">  (Stand 28.04.2023).  </t>
    </r>
    <r>
      <rPr>
        <i/>
        <sz val="10"/>
        <color theme="2"/>
        <rFont val="Calibri"/>
        <family val="2"/>
        <scheme val="minor"/>
      </rPr>
      <t>Changelog am Seitenende.</t>
    </r>
  </si>
  <si>
    <t>Tabellenreiter "Zählung Bestand": Umbenennung Waisenräder zu "zurückgelassene Räder" und Ergänzung Verweis auf Arbeitspapier</t>
  </si>
  <si>
    <t>Tabellenreiter "Zählung Bestand": Ergänzung Definition Wildparker</t>
  </si>
  <si>
    <t>Tabellenreiter "Bestandseingabe": Ergänzung von Hinweisen zur Definition Wildparker sowie Eingabemöglichkeit von Wetter und Anmerkungen zu Bestandsaufnahmen</t>
  </si>
  <si>
    <t>Tabellenreiter "Kostenanalyse": Flächenverbrauch für Reihenbügelanlage auf 1m² erhöht</t>
  </si>
  <si>
    <t>Tabellenreiter "Kostenanalyse": Einheitswerte für Anlehnbügen, Reihenbügenanlage, Doppelstockparker und Sonderstellplätze erhöht</t>
  </si>
  <si>
    <t>Tabellenreiter "Projektbeschreibung": gesetzter Checklisten-Haken bei "erledigt" ändert Zellenfarbe von rot zu grün / Erläuterungstext angepasst</t>
  </si>
  <si>
    <t>Tabellenreiter "Kurzbericht": Sonderstellplätze im Fahrradparkhaus werden nun angezeigt (Fehlerkorrektur)</t>
  </si>
  <si>
    <t xml:space="preserve">       die Anzahl der 1) in den Radabstellanlagen sowie 2) aller weiteren im Bahnhofsumfeld abgestellten Räder.</t>
  </si>
  <si>
    <r>
      <t xml:space="preserve">  ▪   Alle nicht in vorhandenen Radabstellanlagen abgestellten Fahrräder gelten dieser Bedarfsberechnung nach als </t>
    </r>
    <r>
      <rPr>
        <b/>
        <sz val="11"/>
        <color theme="1"/>
        <rFont val="Calibri"/>
        <family val="2"/>
        <scheme val="minor"/>
      </rPr>
      <t>Wildparker</t>
    </r>
    <r>
      <rPr>
        <sz val="11"/>
        <color theme="1"/>
        <rFont val="Calibri"/>
        <family val="2"/>
        <scheme val="minor"/>
      </rPr>
      <t>. Dies müssen nicht zwingend nur an z.B. Dachstützen oder Lichtmasten</t>
    </r>
  </si>
  <si>
    <t xml:space="preserve">       abgestellte Räder sein, sondern können auch bei einer Übernutzung vorkommen, d.h. wenn auf einem vorgesehenen Stellplatz zwei oder mehr Fahrräder stehen. Beispiele hierfür sind Räder,</t>
  </si>
  <si>
    <t xml:space="preserve">       die sich "dazwischen quetschen" oder Paaranschließungen (ein Rad ist an einem anderen Rad angeschlossen). Generell gilt: je gebauten Stellplatz ist nur ein Rad als "abgestellt" zu zählen,</t>
  </si>
  <si>
    <t xml:space="preserve">       alle anderen Räder fallen in die Kategorie Wildparker.</t>
  </si>
  <si>
    <r>
      <t xml:space="preserve">       Abstellanlagen oder im Bahnhofsumfeld </t>
    </r>
    <r>
      <rPr>
        <u/>
        <sz val="11"/>
        <rFont val="Calibri"/>
        <family val="2"/>
        <scheme val="minor"/>
      </rPr>
      <t>nicht</t>
    </r>
    <r>
      <rPr>
        <sz val="11"/>
        <rFont val="Calibri"/>
        <family val="2"/>
        <scheme val="minor"/>
      </rPr>
      <t xml:space="preserve"> mit, da dies das Ergebnis der Bedarfsermittlung verfälscht. Schrotträder und zurückgelassene Räder sollten regelmäßig markiert und rechtssicher</t>
    </r>
  </si>
  <si>
    <t xml:space="preserve">       entfernt werden, um unmittelbar das Stellplatzangebot zu erhöhen sowie die Verwahrlosung der Anlage und damit ein Nutzungshemmnis zu vermeiden. Weitere Informationen zu diesem</t>
  </si>
  <si>
    <r>
      <t xml:space="preserve">  ▪   Bitte zählen Sie bei Ihrer Bestandsaufnahme eventuell vorhandene offensichtliche </t>
    </r>
    <r>
      <rPr>
        <b/>
        <sz val="11"/>
        <color theme="1"/>
        <rFont val="Calibri"/>
        <family val="2"/>
        <scheme val="minor"/>
      </rPr>
      <t>Schrotträder</t>
    </r>
    <r>
      <rPr>
        <sz val="11"/>
        <color theme="1"/>
        <rFont val="Calibri"/>
        <family val="2"/>
        <scheme val="minor"/>
      </rPr>
      <t xml:space="preserve"> (nicht mehr fahrbare Räder) oder </t>
    </r>
    <r>
      <rPr>
        <b/>
        <sz val="11"/>
        <color theme="1"/>
        <rFont val="Calibri"/>
        <family val="2"/>
        <scheme val="minor"/>
      </rPr>
      <t>zurückgelassene Räder</t>
    </r>
    <r>
      <rPr>
        <sz val="11"/>
        <color theme="1"/>
        <rFont val="Calibri"/>
        <family val="2"/>
        <scheme val="minor"/>
      </rPr>
      <t xml:space="preserve"> (aufgegebene Räder/Waisenräder) in den</t>
    </r>
  </si>
  <si>
    <r>
      <t xml:space="preserve">       Thema finden Sie auf der Webseite </t>
    </r>
    <r>
      <rPr>
        <i/>
        <sz val="11"/>
        <rFont val="Calibri"/>
        <family val="2"/>
        <scheme val="minor"/>
      </rPr>
      <t>https://radparken.info</t>
    </r>
    <r>
      <rPr>
        <sz val="11"/>
        <rFont val="Calibri"/>
        <family val="2"/>
        <scheme val="minor"/>
      </rPr>
      <t xml:space="preserve"> unter Fachinformationen: Studien und Leitfäden (ARBEITSPAPIER - Umgang mit Schrotträdern und zurückgelassenen Fahrrädern).</t>
    </r>
  </si>
  <si>
    <r>
      <rPr>
        <b/>
        <i/>
        <sz val="13"/>
        <color theme="1"/>
        <rFont val="Calibri"/>
        <family val="2"/>
        <scheme val="minor"/>
      </rPr>
      <t>Bitte beachten</t>
    </r>
    <r>
      <rPr>
        <i/>
        <sz val="13"/>
        <color theme="1"/>
        <rFont val="Calibri"/>
        <family val="2"/>
        <scheme val="minor"/>
      </rPr>
      <t xml:space="preserve">: Schrotträder und zurückgelassene Räder (Definition siehe Erläuterungen) </t>
    </r>
    <r>
      <rPr>
        <b/>
        <i/>
        <sz val="13"/>
        <color theme="1"/>
        <rFont val="Calibri"/>
        <family val="2"/>
        <scheme val="minor"/>
      </rPr>
      <t>nicht</t>
    </r>
    <r>
      <rPr>
        <i/>
        <sz val="13"/>
        <color theme="1"/>
        <rFont val="Calibri"/>
        <family val="2"/>
        <scheme val="minor"/>
      </rPr>
      <t xml:space="preserve"> mitzählen.</t>
    </r>
  </si>
  <si>
    <t>(Definition Wildparker: siehe Erläuterungen)</t>
  </si>
  <si>
    <r>
      <t xml:space="preserve">  ▪   Bitte geben Sie beim Bestand an Radabstellanlagen immer die </t>
    </r>
    <r>
      <rPr>
        <b/>
        <sz val="11"/>
        <color theme="1"/>
        <rFont val="Calibri"/>
        <family val="2"/>
        <scheme val="minor"/>
      </rPr>
      <t>Anzahl der nutzbaren Stellplätze</t>
    </r>
    <r>
      <rPr>
        <sz val="11"/>
        <color theme="1"/>
        <rFont val="Calibri"/>
        <family val="2"/>
        <scheme val="minor"/>
      </rPr>
      <t xml:space="preserve"> ein (z.B. hat ein Anlehnbügel i.d.R. 2 nutzbare Stellplätze).</t>
    </r>
  </si>
  <si>
    <r>
      <t xml:space="preserve">  ▪   </t>
    </r>
    <r>
      <rPr>
        <b/>
        <sz val="11"/>
        <rFont val="Calibri"/>
        <family val="2"/>
        <scheme val="minor"/>
      </rPr>
      <t>Nicht nutzbare Stellplätze</t>
    </r>
    <r>
      <rPr>
        <sz val="11"/>
        <rFont val="Calibri"/>
        <family val="2"/>
        <scheme val="minor"/>
      </rPr>
      <t xml:space="preserve"> (Definition siehe Reiter "Zählung Bestand") erfassen Sie bitte separat und tragen diese in das entsprechende Feld ein.</t>
    </r>
  </si>
  <si>
    <r>
      <t xml:space="preserve">  ▪   Der Eingabewert für "abgestellte Räder" darf nicht höher sein als die Anzahl der vorhandenen Stellplätze. Nicht in Radabstellanlagen stehende Räder sind </t>
    </r>
    <r>
      <rPr>
        <b/>
        <sz val="11"/>
        <color theme="1"/>
        <rFont val="Calibri"/>
        <family val="2"/>
        <scheme val="minor"/>
      </rPr>
      <t>Wildparker</t>
    </r>
    <r>
      <rPr>
        <sz val="11"/>
        <color theme="1"/>
        <rFont val="Calibri"/>
        <family val="2"/>
        <scheme val="minor"/>
      </rPr>
      <t>. Dies gilt auch bei</t>
    </r>
  </si>
  <si>
    <t xml:space="preserve">       Übernutzung einer Anlage. Bitte lesen Sie auch die Definition zu Wildparkern auf dem Reiter "Zählung Bestand".</t>
  </si>
  <si>
    <r>
      <t xml:space="preserve">  ▪   Die Kategorie "gesichert" ist </t>
    </r>
    <r>
      <rPr>
        <b/>
        <sz val="11"/>
        <color theme="1"/>
        <rFont val="Calibri"/>
        <family val="2"/>
        <scheme val="minor"/>
      </rPr>
      <t>immer</t>
    </r>
    <r>
      <rPr>
        <sz val="11"/>
        <color theme="1"/>
        <rFont val="Calibri"/>
        <family val="2"/>
        <scheme val="minor"/>
      </rPr>
      <t xml:space="preserve"> überdacht. Radboxen werden separat erfasst: bitte geben Sie die Anzahl vorhandener Boxen an und die Anzahl der vermieteten/genutzten Boxen.</t>
    </r>
  </si>
  <si>
    <t>Wetter</t>
  </si>
  <si>
    <t>Anmerkung</t>
  </si>
  <si>
    <t>Anzahl Boxen | Anzahl vermietet/genutzt</t>
  </si>
  <si>
    <t>Definition siehe oben bzw. Reiter "Zählung Bestand"</t>
  </si>
  <si>
    <t>z.B. Seitenabstand zu gering</t>
  </si>
  <si>
    <t>1 m² je Stellplatz zzgl. 20 % Erschließungsfläche</t>
  </si>
  <si>
    <t>eine Tür (B4) mit kleinem Zugangssystem (D1)</t>
  </si>
  <si>
    <t>25 % Zuschlag auf alle oben ermittelten Flächen aufgrund höheren</t>
  </si>
  <si>
    <t>Anteils von Erschließungsflächen (Rampen, Treppen, Nebenräume etc.)</t>
  </si>
  <si>
    <t>Reihenbügelanlage (Hoch-Tief-Einsteller)</t>
  </si>
  <si>
    <r>
      <t xml:space="preserve">Offene Punkte, die noch der Bearbeitung bedürfen bzw. geklärt werden müssen, sind in der Spalte rechts definiert (Häkchen ist nicht gesetzt und </t>
    </r>
    <r>
      <rPr>
        <b/>
        <sz val="11"/>
        <color theme="9"/>
        <rFont val="Calibri"/>
        <family val="2"/>
        <scheme val="minor"/>
      </rPr>
      <t>Zelle ist rot</t>
    </r>
    <r>
      <rPr>
        <sz val="11"/>
        <color theme="1"/>
        <rFont val="Calibri"/>
        <family val="2"/>
        <scheme val="minor"/>
      </rPr>
      <t xml:space="preserve"> markiert). Sobald ein Punkt</t>
    </r>
  </si>
  <si>
    <r>
      <t xml:space="preserve">erledigt ist, können Sie das Häkchen setzen (mit Klick darauf, </t>
    </r>
    <r>
      <rPr>
        <b/>
        <sz val="11"/>
        <color theme="7" tint="-0.249977111117893"/>
        <rFont val="Calibri"/>
        <family val="2"/>
        <scheme val="minor"/>
      </rPr>
      <t>Zelle wird grün</t>
    </r>
    <r>
      <rPr>
        <sz val="11"/>
        <color theme="1"/>
        <rFont val="Calibri"/>
        <family val="2"/>
        <scheme val="minor"/>
      </rPr>
      <t>). Sie können einen erledigten Punkt auch wieder als "noch offen" markieren (erneut mit Klick). Im Ausgangszustand sind</t>
    </r>
  </si>
  <si>
    <r>
      <t xml:space="preserve">alle Punkte der Checkliste als "noch offen" definiert.      </t>
    </r>
    <r>
      <rPr>
        <i/>
        <sz val="11"/>
        <color theme="1"/>
        <rFont val="Calibri"/>
        <family val="2"/>
        <scheme val="minor"/>
      </rPr>
      <t xml:space="preserve">(Achtung! Wenn Sie mit </t>
    </r>
    <r>
      <rPr>
        <i/>
        <u/>
        <sz val="11"/>
        <color theme="1"/>
        <rFont val="Calibri"/>
        <family val="2"/>
        <scheme val="minor"/>
      </rPr>
      <t>Excel 2007</t>
    </r>
    <r>
      <rPr>
        <i/>
        <sz val="11"/>
        <color theme="1"/>
        <rFont val="Calibri"/>
        <family val="2"/>
        <scheme val="minor"/>
      </rPr>
      <t xml:space="preserve"> arbeiten, ist möglicherweise keine grüne Markierung sichtbar).</t>
    </r>
  </si>
  <si>
    <t>erledigt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</si>
</sst>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#,##0\ &quot;€&quot;;[Red]\-#,##0\ &quot;€&quot;"/>
    <numFmt numFmtId="8" formatCode="#,##0.00\ &quot;€&quot;;[Red]\-#,##0.00\ &quot;€&quot;"/>
    <numFmt numFmtId="43" formatCode="_-* #,##0.00_-;\-* #,##0.00_-;_-* &quot;-&quot;??_-;_-@_-"/>
    <numFmt numFmtId="164" formatCode="#,##0_ ;[Red]\-#,##0\ "/>
    <numFmt numFmtId="165" formatCode="#,##0_ ;[Red]\-#,##0;;"/>
    <numFmt numFmtId="166" formatCode="0\ %"/>
    <numFmt numFmtId="167" formatCode="#,##0.0_ ;[Red]\-#,##0.0\ "/>
    <numFmt numFmtId="168" formatCode="0.0\ %"/>
    <numFmt numFmtId="169" formatCode="#,##0_ &quot;%&quot;;[Red]\-#,##0\ "/>
    <numFmt numFmtId="170" formatCode="0.000%"/>
    <numFmt numFmtId="171" formatCode="#,##0\ &quot;m²&quot;"/>
    <numFmt numFmtId="172" formatCode="#,##0\ &quot;€&quot;"/>
    <numFmt numFmtId="173" formatCode="0.00\ %"/>
    <numFmt numFmtId="174" formatCode="#,##0.0\ %"/>
    <numFmt numFmtId="175" formatCode="#,##0_ ;[Red]\-#,##0;"/>
    <numFmt numFmtId="176" formatCode="#,##0\ &quot;€&quot;\ &quot;je Stellpl.&quot;"/>
    <numFmt numFmtId="177" formatCode="_-* #,##0_-;\-* #,##0_-;_-* &quot;-&quot;??_-;_-@_-"/>
  </numFmts>
  <fonts count="137" x14ac:knownFonts="1"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0"/>
      <color theme="8" tint="-0.249977111117893"/>
      <name val="Calibri"/>
      <family val="2"/>
      <scheme val="minor"/>
    </font>
    <font>
      <b/>
      <u/>
      <sz val="11"/>
      <color theme="6" tint="-0.499984740745262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i/>
      <sz val="10"/>
      <color theme="9"/>
      <name val="Calibri"/>
      <family val="2"/>
      <scheme val="minor"/>
    </font>
    <font>
      <i/>
      <sz val="10"/>
      <color theme="6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8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0"/>
      <color theme="2" tint="-0.499984740745262"/>
      <name val="Calibri"/>
      <family val="2"/>
      <scheme val="minor"/>
    </font>
    <font>
      <sz val="11"/>
      <color theme="2"/>
      <name val="Calibri"/>
      <family val="2"/>
      <scheme val="minor"/>
    </font>
    <font>
      <i/>
      <sz val="11"/>
      <color theme="2"/>
      <name val="Calibri"/>
      <family val="2"/>
      <scheme val="minor"/>
    </font>
    <font>
      <u/>
      <sz val="11"/>
      <color theme="2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i/>
      <sz val="10"/>
      <color theme="2" tint="-0.249977111117893"/>
      <name val="Calibri"/>
      <family val="2"/>
      <scheme val="minor"/>
    </font>
    <font>
      <i/>
      <sz val="11"/>
      <color theme="2" tint="-0.249977111117893"/>
      <name val="Calibri"/>
      <family val="2"/>
      <scheme val="minor"/>
    </font>
    <font>
      <b/>
      <sz val="8"/>
      <color theme="9" tint="0.39997558519241921"/>
      <name val="Calibri"/>
      <family val="2"/>
      <scheme val="minor"/>
    </font>
    <font>
      <b/>
      <sz val="11"/>
      <color theme="9" tint="0.3999755851924192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0"/>
      <color theme="2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b/>
      <i/>
      <sz val="11"/>
      <color theme="2" tint="0.7999816888943144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i/>
      <sz val="10"/>
      <color theme="7" tint="-0.249977111117893"/>
      <name val="Calibri"/>
      <family val="2"/>
      <scheme val="minor"/>
    </font>
    <font>
      <sz val="12"/>
      <color theme="7" tint="-0.249977111117893"/>
      <name val="Calibri"/>
      <family val="2"/>
      <scheme val="minor"/>
    </font>
    <font>
      <i/>
      <sz val="10"/>
      <color theme="9" tint="0.39997558519241921"/>
      <name val="Calibri"/>
      <family val="2"/>
      <scheme val="minor"/>
    </font>
    <font>
      <b/>
      <i/>
      <sz val="11"/>
      <color theme="2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i/>
      <sz val="10"/>
      <color theme="2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10"/>
      <color theme="2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7"/>
      <name val="Calibri"/>
      <family val="2"/>
      <scheme val="minor"/>
    </font>
    <font>
      <b/>
      <i/>
      <sz val="11"/>
      <color theme="6" tint="-0.249977111117893"/>
      <name val="Calibri"/>
      <family val="2"/>
      <scheme val="minor"/>
    </font>
    <font>
      <b/>
      <i/>
      <sz val="11"/>
      <color theme="9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0"/>
      <name val="Arial"/>
      <family val="2"/>
    </font>
    <font>
      <b/>
      <sz val="11"/>
      <color theme="2" tint="-0.249977111117893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theme="3" tint="0.39997558519241921"/>
      <name val="Calibri"/>
      <family val="2"/>
      <scheme val="minor"/>
    </font>
    <font>
      <sz val="13"/>
      <name val="Calibri"/>
      <family val="2"/>
      <scheme val="minor"/>
    </font>
    <font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0"/>
      <color theme="7" tint="-0.499984740745262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i/>
      <sz val="11"/>
      <color theme="7" tint="-0.24997711111789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0"/>
      <color theme="2"/>
      <name val="Calibri"/>
      <family val="2"/>
      <scheme val="minor"/>
    </font>
    <font>
      <b/>
      <sz val="10"/>
      <color theme="2"/>
      <name val="Calibri"/>
      <family val="2"/>
      <scheme val="minor"/>
    </font>
    <font>
      <b/>
      <u/>
      <sz val="10"/>
      <color theme="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26"/>
      <color theme="0" tint="-4.9989318521683403E-2"/>
      <name val="Calibri"/>
      <family val="2"/>
      <scheme val="minor"/>
    </font>
    <font>
      <b/>
      <sz val="10.5"/>
      <color theme="2" tint="-0.249977111117893"/>
      <name val="Calibri"/>
      <family val="2"/>
      <scheme val="minor"/>
    </font>
    <font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0.5"/>
      <color theme="2" tint="-0.499984740745262"/>
      <name val="Calibri"/>
      <family val="2"/>
      <scheme val="minor"/>
    </font>
    <font>
      <sz val="8"/>
      <color rgb="FF000000"/>
      <name val="Segoe UI"/>
      <family val="2"/>
    </font>
    <font>
      <vertAlign val="subscript"/>
      <sz val="11"/>
      <color theme="1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4"/>
      <color theme="6" tint="-0.499984740745262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3"/>
      <color theme="1"/>
      <name val="Calibri"/>
      <family val="2"/>
      <scheme val="minor"/>
    </font>
    <font>
      <i/>
      <sz val="11"/>
      <color theme="6" tint="-0.499984740745262"/>
      <name val="Calibri"/>
      <family val="2"/>
      <scheme val="minor"/>
    </font>
    <font>
      <i/>
      <u/>
      <sz val="11"/>
      <color theme="6" tint="-0.499984740745262"/>
      <name val="Calibri"/>
      <family val="2"/>
      <scheme val="minor"/>
    </font>
    <font>
      <b/>
      <sz val="13"/>
      <name val="Calibri"/>
      <family val="2"/>
      <scheme val="minor"/>
    </font>
    <font>
      <u/>
      <sz val="13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u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sz val="10.5"/>
      <color theme="6" tint="-0.499984740745262"/>
      <name val="Calibri"/>
      <family val="2"/>
      <scheme val="minor"/>
    </font>
    <font>
      <b/>
      <i/>
      <sz val="10"/>
      <color theme="9"/>
      <name val="Calibri"/>
      <family val="2"/>
      <scheme val="minor"/>
    </font>
    <font>
      <i/>
      <u/>
      <sz val="10"/>
      <color theme="1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trike/>
      <sz val="11"/>
      <name val="Calibri"/>
      <family val="2"/>
      <scheme val="minor"/>
    </font>
    <font>
      <b/>
      <strike/>
      <sz val="11"/>
      <color theme="2" tint="-0.499984740745262"/>
      <name val="Calibri"/>
      <family val="2"/>
      <scheme val="minor"/>
    </font>
    <font>
      <i/>
      <sz val="11"/>
      <color theme="2" tint="-0.499984740745262"/>
      <name val="Calibri"/>
      <family val="2"/>
      <scheme val="minor"/>
    </font>
    <font>
      <i/>
      <sz val="9"/>
      <color theme="2" tint="-0.499984740745262"/>
      <name val="Calibri"/>
      <family val="2"/>
      <scheme val="minor"/>
    </font>
    <font>
      <sz val="10"/>
      <color theme="3"/>
      <name val="Calibri"/>
      <family val="2"/>
      <scheme val="minor"/>
    </font>
    <font>
      <i/>
      <sz val="8"/>
      <color theme="2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3" tint="0.79998168889431442"/>
      <name val="Calibri"/>
      <family val="2"/>
      <scheme val="minor"/>
    </font>
    <font>
      <b/>
      <sz val="11"/>
      <color theme="2" tint="0.59999389629810485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i/>
      <sz val="13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</fills>
  <borders count="503">
    <border>
      <left/>
      <right/>
      <top/>
      <bottom/>
      <diagonal/>
    </border>
    <border>
      <left style="medium">
        <color theme="6" tint="-0.249977111117893"/>
      </left>
      <right/>
      <top style="medium">
        <color theme="6" tint="-0.249977111117893"/>
      </top>
      <bottom/>
      <diagonal/>
    </border>
    <border>
      <left/>
      <right/>
      <top style="medium">
        <color theme="6" tint="-0.249977111117893"/>
      </top>
      <bottom/>
      <diagonal/>
    </border>
    <border>
      <left/>
      <right style="medium">
        <color theme="6" tint="-0.249977111117893"/>
      </right>
      <top style="medium">
        <color theme="6" tint="-0.249977111117893"/>
      </top>
      <bottom/>
      <diagonal/>
    </border>
    <border>
      <left style="medium">
        <color theme="6" tint="-0.249977111117893"/>
      </left>
      <right/>
      <top/>
      <bottom/>
      <diagonal/>
    </border>
    <border>
      <left/>
      <right style="medium">
        <color theme="6" tint="-0.249977111117893"/>
      </right>
      <top/>
      <bottom/>
      <diagonal/>
    </border>
    <border>
      <left style="medium">
        <color theme="6" tint="-0.249977111117893"/>
      </left>
      <right/>
      <top/>
      <bottom style="medium">
        <color theme="6" tint="-0.249977111117893"/>
      </bottom>
      <diagonal/>
    </border>
    <border>
      <left/>
      <right/>
      <top/>
      <bottom style="medium">
        <color theme="6" tint="-0.249977111117893"/>
      </bottom>
      <diagonal/>
    </border>
    <border>
      <left/>
      <right style="medium">
        <color theme="6" tint="-0.249977111117893"/>
      </right>
      <top/>
      <bottom style="medium">
        <color theme="6" tint="-0.249977111117893"/>
      </bottom>
      <diagonal/>
    </border>
    <border>
      <left/>
      <right/>
      <top style="medium">
        <color theme="6" tint="-0.249977111117893"/>
      </top>
      <bottom style="medium">
        <color theme="6" tint="-0.249977111117893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 style="medium">
        <color theme="2" tint="-0.249977111117893"/>
      </bottom>
      <diagonal/>
    </border>
    <border>
      <left/>
      <right/>
      <top style="medium">
        <color theme="2" tint="-0.249977111117893"/>
      </top>
      <bottom style="medium">
        <color theme="2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 style="thin">
        <color theme="7" tint="-0.249977111117893"/>
      </bottom>
      <diagonal/>
    </border>
    <border>
      <left/>
      <right/>
      <top/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dashed">
        <color theme="7" tint="0.39997558519241921"/>
      </right>
      <top style="thin">
        <color theme="7" tint="-0.249977111117893"/>
      </top>
      <bottom style="thin">
        <color theme="7" tint="-0.249977111117893"/>
      </bottom>
      <diagonal/>
    </border>
    <border>
      <left/>
      <right/>
      <top/>
      <bottom style="thin">
        <color theme="2" tint="-0.249977111117893"/>
      </bottom>
      <diagonal/>
    </border>
    <border>
      <left/>
      <right style="medium">
        <color theme="6" tint="-0.249977111117893"/>
      </right>
      <top/>
      <bottom style="thin">
        <color theme="2" tint="-0.249977111117893"/>
      </bottom>
      <diagonal/>
    </border>
    <border>
      <left style="medium">
        <color theme="6" tint="-0.249977111117893"/>
      </left>
      <right/>
      <top/>
      <bottom style="thin">
        <color theme="2" tint="-0.249977111117893"/>
      </bottom>
      <diagonal/>
    </border>
    <border>
      <left/>
      <right style="medium">
        <color theme="2" tint="-0.249977111117893"/>
      </right>
      <top/>
      <bottom/>
      <diagonal/>
    </border>
    <border>
      <left/>
      <right style="medium">
        <color theme="2" tint="-0.249977111117893"/>
      </right>
      <top/>
      <bottom style="thin">
        <color theme="2" tint="-0.249977111117893"/>
      </bottom>
      <diagonal/>
    </border>
    <border>
      <left/>
      <right style="medium">
        <color theme="2" tint="-0.249977111117893"/>
      </right>
      <top/>
      <bottom style="medium">
        <color theme="6" tint="-0.249977111117893"/>
      </bottom>
      <diagonal/>
    </border>
    <border>
      <left style="medium">
        <color theme="6" tint="-0.249977111117893"/>
      </left>
      <right/>
      <top style="thin">
        <color theme="2" tint="-0.249977111117893"/>
      </top>
      <bottom/>
      <diagonal/>
    </border>
    <border>
      <left style="thin">
        <color theme="7" tint="-0.249977111117893"/>
      </left>
      <right/>
      <top/>
      <bottom style="thin">
        <color theme="7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/>
      <right style="thin">
        <color theme="4" tint="-0.249977111117893"/>
      </right>
      <top/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/>
      <diagonal/>
    </border>
    <border>
      <left/>
      <right/>
      <top style="medium">
        <color theme="4" tint="-0.249977111117893"/>
      </top>
      <bottom/>
      <diagonal/>
    </border>
    <border>
      <left style="thin">
        <color theme="4" tint="-0.249977111117893"/>
      </left>
      <right/>
      <top style="medium">
        <color theme="4" tint="-0.249977111117893"/>
      </top>
      <bottom style="thin">
        <color theme="4" tint="-0.249977111117893"/>
      </bottom>
      <diagonal/>
    </border>
    <border>
      <left/>
      <right/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/>
      <top/>
      <bottom style="thin">
        <color theme="4" tint="-0.249977111117893"/>
      </bottom>
      <diagonal/>
    </border>
    <border>
      <left/>
      <right style="medium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/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/>
      <bottom/>
      <diagonal/>
    </border>
    <border>
      <left/>
      <right style="medium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/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thin">
        <color theme="4"/>
      </bottom>
      <diagonal/>
    </border>
    <border>
      <left style="thin">
        <color theme="4"/>
      </left>
      <right/>
      <top style="medium">
        <color theme="4"/>
      </top>
      <bottom style="thin">
        <color theme="4"/>
      </bottom>
      <diagonal/>
    </border>
    <border>
      <left/>
      <right/>
      <top style="medium">
        <color theme="4"/>
      </top>
      <bottom style="thin">
        <color theme="4"/>
      </bottom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/>
      <top style="medium">
        <color theme="4"/>
      </top>
      <bottom style="thin">
        <color theme="4"/>
      </bottom>
      <diagonal/>
    </border>
    <border>
      <left style="thin">
        <color theme="4" tint="-0.249977111117893"/>
      </left>
      <right/>
      <top style="thin">
        <color theme="4"/>
      </top>
      <bottom style="medium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/>
      </bottom>
      <diagonal/>
    </border>
    <border>
      <left/>
      <right style="thin">
        <color theme="4" tint="-0.249977111117893"/>
      </right>
      <top/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/>
      <diagonal/>
    </border>
    <border>
      <left style="medium">
        <color theme="6" tint="-0.249977111117893"/>
      </left>
      <right/>
      <top/>
      <bottom style="thin">
        <color theme="2" tint="0.39997558519241921"/>
      </bottom>
      <diagonal/>
    </border>
    <border>
      <left/>
      <right/>
      <top/>
      <bottom style="thin">
        <color theme="2" tint="0.39997558519241921"/>
      </bottom>
      <diagonal/>
    </border>
    <border>
      <left/>
      <right style="medium">
        <color theme="6" tint="-0.249977111117893"/>
      </right>
      <top/>
      <bottom style="thin">
        <color theme="2" tint="0.39997558519241921"/>
      </bottom>
      <diagonal/>
    </border>
    <border>
      <left/>
      <right/>
      <top style="thin">
        <color theme="2" tint="-0.249977111117893"/>
      </top>
      <bottom/>
      <diagonal/>
    </border>
    <border>
      <left/>
      <right style="medium">
        <color theme="6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/>
      <bottom style="thin">
        <color theme="2" tint="0.39997558519241921"/>
      </bottom>
      <diagonal/>
    </border>
    <border>
      <left/>
      <right style="thin">
        <color theme="2" tint="-0.249977111117893"/>
      </right>
      <top style="thin">
        <color theme="2" tint="0.39997558519241921"/>
      </top>
      <bottom/>
      <diagonal/>
    </border>
    <border>
      <left/>
      <right style="thin">
        <color theme="2" tint="-0.249977111117893"/>
      </right>
      <top/>
      <bottom style="medium">
        <color theme="6" tint="-0.249977111117893"/>
      </bottom>
      <diagonal/>
    </border>
    <border>
      <left style="thin">
        <color theme="2" tint="-0.249977111117893"/>
      </left>
      <right/>
      <top style="thin">
        <color theme="2" tint="0.39997558519241921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medium">
        <color theme="4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thin">
        <color theme="2" tint="-0.249977111117893"/>
      </left>
      <right/>
      <top/>
      <bottom/>
      <diagonal/>
    </border>
    <border>
      <left/>
      <right style="thin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/>
      <diagonal/>
    </border>
    <border>
      <left/>
      <right style="thin">
        <color theme="2" tint="-0.249977111117893"/>
      </right>
      <top style="medium">
        <color theme="2" tint="-0.249977111117893"/>
      </top>
      <bottom/>
      <diagonal/>
    </border>
    <border>
      <left/>
      <right/>
      <top style="medium">
        <color theme="2" tint="-0.249977111117893"/>
      </top>
      <bottom/>
      <diagonal/>
    </border>
    <border>
      <left style="medium">
        <color theme="2" tint="-0.249977111117893"/>
      </left>
      <right/>
      <top/>
      <bottom/>
      <diagonal/>
    </border>
    <border>
      <left style="medium">
        <color theme="2" tint="-0.249977111117893"/>
      </left>
      <right/>
      <top/>
      <bottom style="medium">
        <color theme="2" tint="-0.249977111117893"/>
      </bottom>
      <diagonal/>
    </border>
    <border>
      <left/>
      <right style="thin">
        <color theme="2" tint="-0.249977111117893"/>
      </right>
      <top/>
      <bottom style="medium">
        <color theme="2" tint="-0.249977111117893"/>
      </bottom>
      <diagonal/>
    </border>
    <border>
      <left/>
      <right/>
      <top/>
      <bottom style="medium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/>
      <bottom/>
      <diagonal/>
    </border>
    <border>
      <left style="thin">
        <color theme="2" tint="-0.249977111117893"/>
      </left>
      <right style="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/>
      <bottom style="medium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/>
      <top style="medium">
        <color theme="2" tint="-0.249977111117893"/>
      </top>
      <bottom style="medium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medium">
        <color theme="2" tint="-0.249977111117893"/>
      </right>
      <top/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/>
      <diagonal/>
    </border>
    <border>
      <left style="dashed">
        <color theme="2" tint="-0.249977111117893"/>
      </left>
      <right style="dashed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/>
      <bottom/>
      <diagonal/>
    </border>
    <border>
      <left style="dashed">
        <color theme="2" tint="-0.249977111117893"/>
      </left>
      <right style="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/>
      <bottom style="medium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/>
      <bottom style="thin">
        <color theme="2" tint="-0.249977111117893"/>
      </bottom>
      <diagonal/>
    </border>
    <border>
      <left/>
      <right style="dashed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medium">
        <color theme="2" tint="-0.249977111117893"/>
      </bottom>
      <diagonal/>
    </border>
    <border>
      <left/>
      <right style="dashed">
        <color theme="2" tint="-0.249977111117893"/>
      </right>
      <top/>
      <bottom style="thin">
        <color theme="2" tint="-0.249977111117893"/>
      </bottom>
      <diagonal/>
    </border>
    <border>
      <left/>
      <right style="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medium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medium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medium">
        <color theme="6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2" tint="-0.249977111117893"/>
      </right>
      <top/>
      <bottom style="thin">
        <color theme="2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2" tint="0.39997558519241921"/>
      </top>
      <bottom style="thin">
        <color indexed="64"/>
      </bottom>
      <diagonal/>
    </border>
    <border>
      <left/>
      <right/>
      <top style="thin">
        <color theme="2" tint="0.39997558519241921"/>
      </top>
      <bottom/>
      <diagonal/>
    </border>
    <border>
      <left style="medium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/>
      <right style="medium">
        <color theme="9" tint="0.39997558519241921"/>
      </right>
      <top style="medium">
        <color theme="9" tint="0.39997558519241921"/>
      </top>
      <bottom/>
      <diagonal/>
    </border>
    <border>
      <left/>
      <right style="thin">
        <color theme="9" tint="0.39997558519241921"/>
      </right>
      <top/>
      <bottom style="thin">
        <color theme="9" tint="0.39997558519241921"/>
      </bottom>
      <diagonal/>
    </border>
    <border>
      <left/>
      <right style="medium">
        <color theme="9" tint="0.39997558519241921"/>
      </right>
      <top style="thin">
        <color theme="9" tint="0.39997558519241921"/>
      </top>
      <bottom/>
      <diagonal/>
    </border>
    <border>
      <left style="medium">
        <color theme="4" tint="-0.249977111117893"/>
      </left>
      <right style="medium">
        <color theme="9" tint="0.39997558519241921"/>
      </right>
      <top/>
      <bottom/>
      <diagonal/>
    </border>
    <border>
      <left style="medium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/>
      <right style="medium">
        <color theme="9" tint="0.39997558519241921"/>
      </right>
      <top/>
      <bottom/>
      <diagonal/>
    </border>
    <border>
      <left/>
      <right style="medium">
        <color theme="9" tint="0.39997558519241921"/>
      </right>
      <top/>
      <bottom style="medium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/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/>
      <top/>
      <bottom/>
      <diagonal/>
    </border>
    <border>
      <left style="medium">
        <color theme="9" tint="0.39997558519241921"/>
      </left>
      <right/>
      <top style="medium">
        <color theme="9" tint="0.39997558519241921"/>
      </top>
      <bottom/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/>
      <right/>
      <top style="thin">
        <color theme="4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0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theme="9" tint="0.39997558519241921"/>
      </top>
      <bottom style="thin">
        <color theme="9" tint="0.39997558519241921"/>
      </bottom>
      <diagonal/>
    </border>
    <border>
      <left/>
      <right style="medium">
        <color theme="9" tint="0.39997558519241921"/>
      </right>
      <top style="medium">
        <color theme="9" tint="0.39997558519241921"/>
      </top>
      <bottom style="thin">
        <color theme="9" tint="0.39997558519241921"/>
      </bottom>
      <diagonal/>
    </border>
    <border>
      <left/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/>
      <top/>
      <bottom style="medium">
        <color theme="9" tint="0.39997558519241921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/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medium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/>
      <top style="medium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 style="thin">
        <color theme="4"/>
      </right>
      <top/>
      <bottom style="medium">
        <color theme="4" tint="-0.249977111117893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 style="thin">
        <color theme="4"/>
      </left>
      <right/>
      <top style="medium">
        <color theme="4"/>
      </top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6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4"/>
      </right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9" tint="0.39997558519241921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2" tint="-0.249977111117893"/>
      </right>
      <top style="thin">
        <color theme="2" tint="0.39997558519241921"/>
      </top>
      <bottom/>
      <diagonal/>
    </border>
    <border>
      <left/>
      <right style="thin">
        <color theme="2" tint="-0.249977111117893"/>
      </right>
      <top/>
      <bottom style="thin">
        <color indexed="64"/>
      </bottom>
      <diagonal/>
    </border>
    <border>
      <left/>
      <right style="thin">
        <color theme="2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2" tint="-0.249977111117893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-0.249977111117893"/>
      </left>
      <right/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0.39997558519241921"/>
      </bottom>
      <diagonal/>
    </border>
    <border>
      <left style="thin">
        <color theme="2" tint="-0.249977111117893"/>
      </left>
      <right/>
      <top/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/>
      <right style="thin">
        <color theme="2" tint="-0.249977111117893"/>
      </right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/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indexed="64"/>
      </bottom>
      <diagonal/>
    </border>
    <border>
      <left style="thin">
        <color theme="2" tint="-0.249977111117893"/>
      </left>
      <right/>
      <top/>
      <bottom style="thin">
        <color indexed="64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 style="thin">
        <color theme="9" tint="0.39997558519241921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/>
      <bottom/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theme="6" tint="-0.249977111117893"/>
      </left>
      <right/>
      <top style="medium">
        <color theme="6" tint="-0.249977111117893"/>
      </top>
      <bottom style="thin">
        <color theme="2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/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 style="thin">
        <color theme="2" tint="0.39997558519241921"/>
      </bottom>
      <diagonal/>
    </border>
    <border>
      <left/>
      <right style="thin">
        <color theme="2" tint="0.39997558519241921"/>
      </right>
      <top/>
      <bottom/>
      <diagonal/>
    </border>
    <border>
      <left style="thin">
        <color theme="2" tint="0.39997558519241921"/>
      </left>
      <right/>
      <top/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/>
      <top style="thin">
        <color theme="2" tint="-0.249977111117893"/>
      </top>
      <bottom style="thin">
        <color theme="2" tint="0.39997558519241921"/>
      </bottom>
      <diagonal/>
    </border>
    <border>
      <left/>
      <right style="thin">
        <color theme="2" tint="0.39997558519241921"/>
      </right>
      <top style="thin">
        <color theme="2" tint="-0.249977111117893"/>
      </top>
      <bottom style="thin">
        <color theme="2" tint="0.39997558519241921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/>
      <top style="thin">
        <color theme="2" tint="0.39997558519241921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thin">
        <color theme="2" tint="0.39997558519241921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0.39997558519241921"/>
      </top>
      <bottom style="thin">
        <color theme="2" tint="-0.249977111117893"/>
      </bottom>
      <diagonal/>
    </border>
    <border>
      <left/>
      <right/>
      <top style="thin">
        <color theme="2" tint="0.39997558519241921"/>
      </top>
      <bottom style="thin">
        <color theme="2" tint="-0.249977111117893"/>
      </bottom>
      <diagonal/>
    </border>
    <border>
      <left/>
      <right/>
      <top style="thin">
        <color theme="2" tint="0.39997558519241921"/>
      </top>
      <bottom style="thin">
        <color theme="2" tint="0.39997558519241921"/>
      </bottom>
      <diagonal/>
    </border>
    <border>
      <left/>
      <right style="thin">
        <color theme="2" tint="0.399975585192419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/>
      <bottom style="thin">
        <color theme="2" tint="0.39997558519241921"/>
      </bottom>
      <diagonal/>
    </border>
    <border>
      <left/>
      <right style="thin">
        <color theme="2" tint="0.39997558519241921"/>
      </right>
      <top/>
      <bottom style="thin">
        <color theme="2" tint="0.39997558519241921"/>
      </bottom>
      <diagonal/>
    </border>
    <border>
      <left style="thin">
        <color theme="2" tint="0.39997558519241921"/>
      </left>
      <right/>
      <top/>
      <bottom style="thin">
        <color theme="2" tint="0.39997558519241921"/>
      </bottom>
      <diagonal/>
    </border>
    <border>
      <left/>
      <right/>
      <top/>
      <bottom style="medium">
        <color theme="0"/>
      </bottom>
      <diagonal/>
    </border>
    <border>
      <left/>
      <right/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/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/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/>
      <bottom style="thin">
        <color theme="2" tint="-0.249977111117893"/>
      </bottom>
      <diagonal/>
    </border>
    <border>
      <left style="thin">
        <color theme="2" tint="0.39997558519241921"/>
      </left>
      <right/>
      <top/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/>
      <diagonal/>
    </border>
    <border>
      <left style="thin">
        <color theme="2" tint="0.39997558519241921"/>
      </left>
      <right/>
      <top style="thin">
        <color theme="2" tint="-0.249977111117893"/>
      </top>
      <bottom/>
      <diagonal/>
    </border>
    <border>
      <left/>
      <right style="thin">
        <color theme="2" tint="0.39997558519241921"/>
      </right>
      <top style="thin">
        <color theme="2" tint="-0.249977111117893"/>
      </top>
      <bottom/>
      <diagonal/>
    </border>
    <border>
      <left/>
      <right style="thin">
        <color theme="2" tint="0.39997558519241921"/>
      </right>
      <top/>
      <bottom style="thin">
        <color theme="2" tint="-0.249977111117893"/>
      </bottom>
      <diagonal/>
    </border>
    <border>
      <left style="medium">
        <color theme="6" tint="-0.249977111117893"/>
      </left>
      <right/>
      <top style="medium">
        <color theme="6" tint="-0.249977111117893"/>
      </top>
      <bottom style="medium">
        <color theme="6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 style="medium">
        <color theme="6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/>
      <bottom style="thin">
        <color theme="2" tint="-0.249977111117893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9" tint="0.39997558519241921"/>
      </right>
      <top style="medium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2" tint="0.39997558519241921"/>
      </right>
      <top style="thin">
        <color theme="2" tint="0.39997558519241921"/>
      </top>
      <bottom/>
      <diagonal/>
    </border>
    <border>
      <left style="thin">
        <color theme="9" tint="0.39997558519241921"/>
      </left>
      <right style="thick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/>
      <diagonal/>
    </border>
    <border>
      <left/>
      <right style="medium">
        <color theme="4"/>
      </right>
      <top/>
      <bottom style="thin">
        <color theme="4"/>
      </bottom>
      <diagonal/>
    </border>
    <border>
      <left style="medium">
        <color theme="4"/>
      </left>
      <right/>
      <top/>
      <bottom style="thin">
        <color theme="4"/>
      </bottom>
      <diagonal/>
    </border>
    <border>
      <left style="medium">
        <color theme="4"/>
      </left>
      <right/>
      <top style="thin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thin">
        <color theme="2" tint="0.39997558519241921"/>
      </left>
      <right/>
      <top style="thin">
        <color theme="2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6" tint="-0.249977111117893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tted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/>
      <right/>
      <top style="dotted">
        <color theme="2" tint="0.39997558519241921"/>
      </top>
      <bottom style="thin">
        <color theme="2" tint="0.39997558519241921"/>
      </bottom>
      <diagonal/>
    </border>
    <border>
      <left/>
      <right style="dotted">
        <color theme="2" tint="0.39997558519241921"/>
      </right>
      <top style="thin">
        <color theme="2" tint="0.39997558519241921"/>
      </top>
      <bottom/>
      <diagonal/>
    </border>
    <border>
      <left/>
      <right style="dotted">
        <color theme="2" tint="0.39997558519241921"/>
      </right>
      <top/>
      <bottom/>
      <diagonal/>
    </border>
    <border>
      <left style="dotted">
        <color theme="2" tint="0.39997558519241921"/>
      </left>
      <right/>
      <top style="dotted">
        <color theme="2" tint="0.39997558519241921"/>
      </top>
      <bottom/>
      <diagonal/>
    </border>
    <border>
      <left/>
      <right style="dotted">
        <color theme="2" tint="0.39997558519241921"/>
      </right>
      <top style="dotted">
        <color theme="2" tint="0.39997558519241921"/>
      </top>
      <bottom/>
      <diagonal/>
    </border>
    <border>
      <left style="dotted">
        <color theme="2" tint="0.39997558519241921"/>
      </left>
      <right/>
      <top style="dotted">
        <color theme="2" tint="0.39997558519241921"/>
      </top>
      <bottom style="thin">
        <color theme="2" tint="0.39997558519241921"/>
      </bottom>
      <diagonal/>
    </border>
    <border>
      <left/>
      <right style="dotted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dotted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dotted">
        <color theme="2" tint="0.39997558519241921"/>
      </top>
      <bottom/>
      <diagonal/>
    </border>
    <border>
      <left style="thin">
        <color theme="2" tint="0.39997558519241921"/>
      </left>
      <right style="dotted">
        <color theme="2" tint="0.39997558519241921"/>
      </right>
      <top style="thin">
        <color theme="2" tint="0.39997558519241921"/>
      </top>
      <bottom/>
      <diagonal/>
    </border>
    <border>
      <left style="thin">
        <color theme="2" tint="-0.249977111117893"/>
      </left>
      <right style="thin">
        <color theme="2" tint="0.39997558519241921"/>
      </right>
      <top/>
      <bottom/>
      <diagonal/>
    </border>
    <border>
      <left style="thin">
        <color theme="2" tint="0.39997558519241921"/>
      </left>
      <right style="dotted">
        <color theme="2" tint="0.39997558519241921"/>
      </right>
      <top/>
      <bottom style="thin">
        <color theme="2" tint="0.39997558519241921"/>
      </bottom>
      <diagonal/>
    </border>
    <border>
      <left/>
      <right/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/>
      <right style="thin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dotted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dotted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/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/>
      <diagonal/>
    </border>
    <border>
      <left style="medium">
        <color theme="4"/>
      </left>
      <right style="thin">
        <color theme="4" tint="0.79998168889431442"/>
      </right>
      <top/>
      <bottom/>
      <diagonal/>
    </border>
    <border>
      <left style="medium">
        <color theme="4"/>
      </left>
      <right style="thin">
        <color theme="4" tint="0.79998168889431442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thin">
        <color theme="4" tint="0.79998168889431442"/>
      </right>
      <top style="thin">
        <color theme="4"/>
      </top>
      <bottom style="medium">
        <color theme="4"/>
      </bottom>
      <diagonal/>
    </border>
    <border>
      <left/>
      <right style="dotted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/>
      <right/>
      <top style="dotted">
        <color theme="2" tint="0.39997558519241921"/>
      </top>
      <bottom style="dotted">
        <color theme="2" tint="0.39997558519241921"/>
      </bottom>
      <diagonal/>
    </border>
    <border>
      <left/>
      <right style="dotted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/>
      <top style="dotted">
        <color theme="2" tint="0.39997558519241921"/>
      </top>
      <bottom style="dotted">
        <color theme="2" tint="0.39997558519241921"/>
      </bottom>
      <diagonal/>
    </border>
    <border>
      <left/>
      <right style="thin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/>
      <right style="thin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/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77111117893"/>
      </left>
      <right/>
      <top/>
      <bottom style="medium">
        <color theme="6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dotted">
        <color theme="2" tint="-0.249977111117893"/>
      </bottom>
      <diagonal/>
    </border>
    <border>
      <left style="thin">
        <color theme="2" tint="0.39997558519241921"/>
      </left>
      <right/>
      <top style="dotted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dotted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otted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otted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dott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dotted">
        <color theme="2" tint="-0.249977111117893"/>
      </left>
      <right style="dott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dotted">
        <color theme="2" tint="-0.249977111117893"/>
      </left>
      <right style="dotted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6" tint="-0.249977111117893"/>
      </top>
      <bottom/>
      <diagonal/>
    </border>
    <border>
      <left/>
      <right style="dotted">
        <color theme="2" tint="-0.249977111117893"/>
      </right>
      <top/>
      <bottom style="thin">
        <color theme="2" tint="-0.249977111117893"/>
      </bottom>
      <diagonal/>
    </border>
    <border>
      <left/>
      <right style="dott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dotted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theme="2" tint="-0.249977111117893"/>
      </left>
      <right/>
      <top style="thin">
        <color theme="2" tint="-0.249977111117893"/>
      </top>
      <bottom style="medium">
        <color theme="2" tint="-0.249977111117893"/>
      </bottom>
      <diagonal/>
    </border>
    <border>
      <left/>
      <right/>
      <top style="thin">
        <color theme="2" tint="-0.249977111117893"/>
      </top>
      <bottom style="medium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2" tint="-0.249977111117893"/>
      </right>
      <top style="thin">
        <color indexed="64"/>
      </top>
      <bottom/>
      <diagonal/>
    </border>
    <border>
      <left style="thin">
        <color theme="2" tint="0.39997558519241921"/>
      </left>
      <right/>
      <top style="thin">
        <color indexed="64"/>
      </top>
      <bottom/>
      <diagonal/>
    </border>
    <border>
      <left style="thin">
        <color theme="2" tint="0.39997558519241921"/>
      </left>
      <right/>
      <top/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indexed="64"/>
      </top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indexed="64"/>
      </top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/>
      <top style="thin">
        <color indexed="64"/>
      </top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thin">
        <color theme="4" tint="0.79998168889431442"/>
      </left>
      <right style="medium">
        <color theme="4"/>
      </right>
      <top/>
      <bottom style="thin">
        <color theme="4"/>
      </bottom>
      <diagonal/>
    </border>
    <border>
      <left style="thin">
        <color theme="4" tint="0.79998168889431442"/>
      </left>
      <right style="thin">
        <color theme="4"/>
      </right>
      <top/>
      <bottom style="thin">
        <color theme="4"/>
      </bottom>
      <diagonal/>
    </border>
    <border>
      <left style="medium">
        <color theme="4"/>
      </left>
      <right style="thin">
        <color theme="4" tint="0.79998168889431442"/>
      </right>
      <top style="medium">
        <color theme="4"/>
      </top>
      <bottom style="thin">
        <color theme="4"/>
      </bottom>
      <diagonal/>
    </border>
    <border>
      <left/>
      <right/>
      <top style="thin">
        <color indexed="64"/>
      </top>
      <bottom style="thin">
        <color theme="2" tint="-0.249977111117893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 tint="0.79998168889431442"/>
      </left>
      <right style="medium">
        <color theme="4"/>
      </right>
      <top/>
      <bottom/>
      <diagonal/>
    </border>
    <border>
      <left style="thin">
        <color theme="4" tint="0.79998168889431442"/>
      </left>
      <right style="thin">
        <color theme="4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indexed="64"/>
      </top>
      <bottom style="mediumDashed">
        <color theme="2" tint="-0.249977111117893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indexed="64"/>
      </top>
      <bottom style="thin">
        <color theme="2" tint="-0.249977111117893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2" tint="0.39997558519241921"/>
      </left>
      <right/>
      <top style="dotted">
        <color theme="2" tint="0.39997558519241921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dotted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/>
      <bottom/>
      <diagonal/>
    </border>
    <border>
      <left/>
      <right/>
      <top style="thin">
        <color theme="2" tint="0.39997558519241921"/>
      </top>
      <bottom style="thin">
        <color theme="2" tint="0.39994506668294322"/>
      </bottom>
      <diagonal/>
    </border>
    <border>
      <left/>
      <right/>
      <top style="thin">
        <color theme="2" tint="0.39994506668294322"/>
      </top>
      <bottom/>
      <diagonal/>
    </border>
    <border>
      <left style="thin">
        <color theme="2" tint="0.39994506668294322"/>
      </left>
      <right style="thin">
        <color theme="2" tint="0.39994506668294322"/>
      </right>
      <top/>
      <bottom style="thin">
        <color theme="2" tint="0.39994506668294322"/>
      </bottom>
      <diagonal/>
    </border>
    <border>
      <left style="thin">
        <color theme="2" tint="0.39994506668294322"/>
      </left>
      <right style="thin">
        <color theme="2" tint="0.39994506668294322"/>
      </right>
      <top/>
      <bottom/>
      <diagonal/>
    </border>
    <border>
      <left style="thin">
        <color theme="2" tint="0.39994506668294322"/>
      </left>
      <right/>
      <top/>
      <bottom/>
      <diagonal/>
    </border>
    <border>
      <left style="thin">
        <color theme="2" tint="0.39994506668294322"/>
      </left>
      <right/>
      <top/>
      <bottom style="thin">
        <color theme="2" tint="0.39994506668294322"/>
      </bottom>
      <diagonal/>
    </border>
    <border>
      <left/>
      <right style="thin">
        <color theme="2" tint="0.39994506668294322"/>
      </right>
      <top/>
      <bottom style="thin">
        <color theme="2" tint="0.39994506668294322"/>
      </bottom>
      <diagonal/>
    </border>
    <border>
      <left/>
      <right style="thin">
        <color theme="2" tint="0.39994506668294322"/>
      </right>
      <top/>
      <bottom/>
      <diagonal/>
    </border>
    <border>
      <left style="thin">
        <color theme="2" tint="0.39997558519241921"/>
      </left>
      <right/>
      <top style="thin">
        <color theme="2" tint="0.39994506668294322"/>
      </top>
      <bottom/>
      <diagonal/>
    </border>
    <border>
      <left style="thin">
        <color theme="2" tint="0.39994506668294322"/>
      </left>
      <right/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4506668294322"/>
      </left>
      <right/>
      <top/>
      <bottom style="thin">
        <color theme="2" tint="-0.249977111117893"/>
      </bottom>
      <diagonal/>
    </border>
    <border>
      <left style="thin">
        <color theme="2" tint="0.39994506668294322"/>
      </left>
      <right/>
      <top style="thin">
        <color theme="2" tint="0.39997558519241921"/>
      </top>
      <bottom style="thin">
        <color theme="2" tint="0.39994506668294322"/>
      </bottom>
      <diagonal/>
    </border>
    <border>
      <left style="thin">
        <color theme="2" tint="0.39997558519241921"/>
      </left>
      <right style="thin">
        <color theme="2" tint="0.39997558519241921"/>
      </right>
      <top/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7" tint="-0.249977111117893"/>
      </left>
      <right style="thin">
        <color theme="7" tint="-0.249977111117893"/>
      </right>
      <top/>
      <bottom style="thin">
        <color theme="2" tint="-0.249977111117893"/>
      </bottom>
      <diagonal/>
    </border>
    <border>
      <left style="thin">
        <color theme="7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dashed">
        <color theme="7" tint="0.39997558519241921"/>
      </bottom>
      <diagonal/>
    </border>
    <border>
      <left style="thin">
        <color theme="7" tint="-0.249977111117893"/>
      </left>
      <right style="thin">
        <color theme="2" tint="-0.249977111117893"/>
      </right>
      <top style="thin">
        <color theme="7" tint="-0.249977111117893"/>
      </top>
      <bottom style="dashed">
        <color theme="7" tint="0.39997558519241921"/>
      </bottom>
      <diagonal/>
    </border>
    <border>
      <left style="thin">
        <color theme="7" tint="-0.249977111117893"/>
      </left>
      <right style="thin">
        <color theme="2" tint="-0.249977111117893"/>
      </right>
      <top style="dashed">
        <color theme="7" tint="0.39997558519241921"/>
      </top>
      <bottom style="dashed">
        <color theme="7" tint="0.39997558519241921"/>
      </bottom>
      <diagonal/>
    </border>
    <border>
      <left style="thin">
        <color theme="7" tint="-0.249977111117893"/>
      </left>
      <right style="thin">
        <color theme="7" tint="-0.249977111117893"/>
      </right>
      <top style="dashed">
        <color theme="7" tint="0.39997558519241921"/>
      </top>
      <bottom style="dashed">
        <color theme="7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0.39997558519241921"/>
      </left>
      <right/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 style="dashed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dashed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7" tint="-0.249977111117893"/>
      </right>
      <top style="dashed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 style="dashed">
        <color theme="2" tint="-0.249977111117893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dashed">
        <color theme="2" tint="-0.249977111117893"/>
      </top>
      <bottom/>
      <diagonal/>
    </border>
    <border>
      <left style="thin">
        <color theme="2" tint="0.39997558519241921"/>
      </left>
      <right style="thin">
        <color theme="7" tint="-0.249977111117893"/>
      </right>
      <top style="dashed">
        <color theme="2" tint="-0.249977111117893"/>
      </top>
      <bottom/>
      <diagonal/>
    </border>
    <border>
      <left style="thin">
        <color theme="7" tint="-0.249977111117893"/>
      </left>
      <right/>
      <top style="dashed">
        <color theme="7" tint="0.39997558519241921"/>
      </top>
      <bottom style="thin">
        <color theme="2" tint="-0.249977111117893"/>
      </bottom>
      <diagonal/>
    </border>
    <border>
      <left/>
      <right/>
      <top style="dashed">
        <color theme="7" tint="0.39997558519241921"/>
      </top>
      <bottom style="thin">
        <color theme="2" tint="-0.249977111117893"/>
      </bottom>
      <diagonal/>
    </border>
    <border>
      <left/>
      <right style="thin">
        <color theme="7" tint="-0.249977111117893"/>
      </right>
      <top style="dashed">
        <color theme="7" tint="0.39997558519241921"/>
      </top>
      <bottom style="thin">
        <color theme="2" tint="-0.249977111117893"/>
      </bottom>
      <diagonal/>
    </border>
    <border>
      <left style="mediumDashed">
        <color theme="3" tint="0.39997558519241921"/>
      </left>
      <right style="mediumDashed">
        <color theme="3" tint="0.39997558519241921"/>
      </right>
      <top style="mediumDashed">
        <color theme="3" tint="0.39997558519241921"/>
      </top>
      <bottom style="mediumDashed">
        <color theme="3" tint="0.39997558519241921"/>
      </bottom>
      <diagonal/>
    </border>
    <border>
      <left/>
      <right style="mediumDashed">
        <color theme="3" tint="0.39997558519241921"/>
      </right>
      <top/>
      <bottom/>
      <diagonal/>
    </border>
    <border>
      <left style="mediumDashed">
        <color theme="3" tint="0.39997558519241921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6" tint="-0.249977111117893"/>
      </left>
      <right/>
      <top/>
      <bottom style="thin">
        <color theme="6" tint="-0.249977111117893"/>
      </bottom>
      <diagonal/>
    </border>
    <border>
      <left/>
      <right/>
      <top/>
      <bottom style="thin">
        <color theme="6" tint="-0.249977111117893"/>
      </bottom>
      <diagonal/>
    </border>
    <border>
      <left/>
      <right style="medium">
        <color theme="6" tint="-0.249977111117893"/>
      </right>
      <top/>
      <bottom style="thin">
        <color theme="6" tint="-0.249977111117893"/>
      </bottom>
      <diagonal/>
    </border>
    <border>
      <left style="mediumDashed">
        <color theme="3" tint="0.39997558519241921"/>
      </left>
      <right style="mediumDashed">
        <color theme="3" tint="0.39997558519241921"/>
      </right>
      <top style="thin">
        <color theme="2" tint="-0.249977111117893"/>
      </top>
      <bottom style="mediumDashed">
        <color theme="3" tint="0.39997558519241921"/>
      </bottom>
      <diagonal/>
    </border>
    <border>
      <left style="mediumDashed">
        <color theme="3" tint="0.39997558519241921"/>
      </left>
      <right style="mediumDashed">
        <color theme="3" tint="0.39997558519241921"/>
      </right>
      <top style="thin">
        <color theme="2" tint="-0.249977111117893"/>
      </top>
      <bottom/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/>
      <top/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/>
      <diagonal/>
    </border>
    <border>
      <left/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/>
      <diagonal/>
    </border>
    <border>
      <left style="mediumDashed">
        <color theme="3" tint="0.39997558519241921"/>
      </left>
      <right style="mediumDashed">
        <color theme="3" tint="0.39997558519241921"/>
      </right>
      <top style="mediumDashed">
        <color theme="3" tint="0.39997558519241921"/>
      </top>
      <bottom style="thin">
        <color theme="2" tint="-0.249977111117893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/>
      <top/>
      <bottom style="medium">
        <color theme="4"/>
      </bottom>
      <diagonal/>
    </border>
    <border>
      <left style="thin">
        <color theme="3" tint="0.39997558519241921"/>
      </left>
      <right style="medium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medium">
        <color theme="3" tint="0.39997558519241921"/>
      </right>
      <top style="thin">
        <color theme="3" tint="0.39997558519241921"/>
      </top>
      <bottom/>
      <diagonal/>
    </border>
    <border>
      <left style="thin">
        <color theme="3" tint="0.39997558519241921"/>
      </left>
      <right style="medium">
        <color theme="3" tint="0.39997558519241921"/>
      </right>
      <top/>
      <bottom/>
      <diagonal/>
    </border>
    <border>
      <left style="thin">
        <color theme="3" tint="0.39997558519241921"/>
      </left>
      <right style="medium">
        <color theme="3" tint="0.39997558519241921"/>
      </right>
      <top/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/>
      <diagonal/>
    </border>
    <border>
      <left/>
      <right style="thin">
        <color theme="3" tint="0.39997558519241921"/>
      </right>
      <top style="thin">
        <color theme="3" tint="0.39997558519241921"/>
      </top>
      <bottom/>
      <diagonal/>
    </border>
    <border>
      <left style="medium">
        <color theme="3" tint="0.39997558519241921"/>
      </left>
      <right style="thin">
        <color theme="3" tint="0.39997558519241921"/>
      </right>
      <top style="thin">
        <color theme="3" tint="0.39997558519241921"/>
      </top>
      <bottom/>
      <diagonal/>
    </border>
    <border>
      <left style="medium">
        <color theme="3" tint="0.39997558519241921"/>
      </left>
      <right style="thin">
        <color theme="3" tint="0.39997558519241921"/>
      </right>
      <top/>
      <bottom/>
      <diagonal/>
    </border>
    <border>
      <left style="medium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/>
      <right style="medium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0"/>
      </top>
      <bottom/>
      <diagonal/>
    </border>
    <border>
      <left style="thin">
        <color theme="4" tint="-0.249977111117893"/>
      </left>
      <right/>
      <top/>
      <bottom style="medium">
        <color theme="4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medium">
        <color theme="4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medium">
        <color theme="4"/>
      </bottom>
      <diagonal/>
    </border>
  </borders>
  <cellStyleXfs count="8">
    <xf numFmtId="0" fontId="0" fillId="0" borderId="0"/>
    <xf numFmtId="9" fontId="13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72" fillId="0" borderId="0"/>
    <xf numFmtId="0" fontId="13" fillId="3" borderId="249" applyNumberFormat="0" applyFont="0" applyFill="0" applyBorder="0" applyProtection="0">
      <alignment horizontal="left" vertical="center" indent="1"/>
    </xf>
    <xf numFmtId="0" fontId="13" fillId="9" borderId="247" applyNumberFormat="0" applyFont="0" applyFill="0" applyBorder="0" applyProtection="0">
      <alignment horizontal="right" vertical="center" indent="1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203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3" borderId="0" xfId="0" applyFill="1"/>
    <xf numFmtId="0" fontId="0" fillId="8" borderId="0" xfId="0" applyFill="1" applyAlignment="1">
      <alignment vertical="center"/>
    </xf>
    <xf numFmtId="0" fontId="3" fillId="5" borderId="0" xfId="0" applyFont="1" applyFill="1" applyAlignment="1">
      <alignment horizontal="left" vertical="center" indent="1"/>
    </xf>
    <xf numFmtId="0" fontId="0" fillId="5" borderId="0" xfId="0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0" fillId="9" borderId="0" xfId="0" applyFill="1" applyAlignment="1">
      <alignment vertical="center"/>
    </xf>
    <xf numFmtId="0" fontId="12" fillId="0" borderId="0" xfId="0" applyFont="1" applyAlignment="1">
      <alignment vertical="center"/>
    </xf>
    <xf numFmtId="0" fontId="12" fillId="8" borderId="0" xfId="0" applyFont="1" applyFill="1" applyAlignment="1">
      <alignment horizontal="center" vertical="center"/>
    </xf>
    <xf numFmtId="0" fontId="9" fillId="5" borderId="0" xfId="0" applyFont="1" applyFill="1" applyAlignment="1">
      <alignment vertical="center"/>
    </xf>
    <xf numFmtId="0" fontId="0" fillId="0" borderId="0" xfId="0" quotePrefix="1" applyAlignment="1">
      <alignment vertical="center"/>
    </xf>
    <xf numFmtId="0" fontId="15" fillId="3" borderId="36" xfId="0" applyFont="1" applyFill="1" applyBorder="1" applyAlignment="1">
      <alignment vertical="center"/>
    </xf>
    <xf numFmtId="0" fontId="15" fillId="3" borderId="27" xfId="0" applyFont="1" applyFill="1" applyBorder="1" applyAlignment="1">
      <alignment vertical="center"/>
    </xf>
    <xf numFmtId="0" fontId="25" fillId="3" borderId="28" xfId="0" applyFont="1" applyFill="1" applyBorder="1" applyAlignment="1">
      <alignment horizontal="center" vertical="center" wrapText="1"/>
    </xf>
    <xf numFmtId="0" fontId="25" fillId="3" borderId="29" xfId="0" applyFont="1" applyFill="1" applyBorder="1" applyAlignment="1">
      <alignment horizontal="center" vertical="center" wrapText="1"/>
    </xf>
    <xf numFmtId="0" fontId="25" fillId="3" borderId="37" xfId="0" applyFont="1" applyFill="1" applyBorder="1" applyAlignment="1">
      <alignment horizontal="center" vertical="center" wrapText="1"/>
    </xf>
    <xf numFmtId="0" fontId="25" fillId="3" borderId="44" xfId="0" applyFont="1" applyFill="1" applyBorder="1" applyAlignment="1">
      <alignment horizontal="center" vertical="center" wrapText="1"/>
    </xf>
    <xf numFmtId="0" fontId="12" fillId="3" borderId="38" xfId="0" applyFont="1" applyFill="1" applyBorder="1" applyAlignment="1">
      <alignment vertical="center"/>
    </xf>
    <xf numFmtId="0" fontId="21" fillId="3" borderId="0" xfId="0" applyFont="1" applyFill="1" applyAlignment="1">
      <alignment vertical="center"/>
    </xf>
    <xf numFmtId="0" fontId="12" fillId="3" borderId="36" xfId="0" applyFont="1" applyFill="1" applyBorder="1" applyAlignment="1">
      <alignment vertical="center"/>
    </xf>
    <xf numFmtId="0" fontId="21" fillId="3" borderId="27" xfId="0" applyFont="1" applyFill="1" applyBorder="1" applyAlignment="1">
      <alignment vertical="center"/>
    </xf>
    <xf numFmtId="0" fontId="12" fillId="3" borderId="40" xfId="0" applyFont="1" applyFill="1" applyBorder="1" applyAlignment="1">
      <alignment vertical="center"/>
    </xf>
    <xf numFmtId="0" fontId="21" fillId="3" borderId="41" xfId="0" applyFont="1" applyFill="1" applyBorder="1" applyAlignment="1">
      <alignment vertical="center"/>
    </xf>
    <xf numFmtId="0" fontId="12" fillId="8" borderId="30" xfId="0" applyFont="1" applyFill="1" applyBorder="1" applyAlignment="1">
      <alignment vertical="center"/>
    </xf>
    <xf numFmtId="0" fontId="21" fillId="8" borderId="31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15" fillId="3" borderId="39" xfId="0" applyFont="1" applyFill="1" applyBorder="1" applyAlignment="1">
      <alignment vertical="center"/>
    </xf>
    <xf numFmtId="0" fontId="15" fillId="3" borderId="41" xfId="0" quotePrefix="1" applyFont="1" applyFill="1" applyBorder="1" applyAlignment="1">
      <alignment vertical="center"/>
    </xf>
    <xf numFmtId="0" fontId="15" fillId="3" borderId="41" xfId="0" applyFont="1" applyFill="1" applyBorder="1" applyAlignment="1">
      <alignment vertical="center"/>
    </xf>
    <xf numFmtId="0" fontId="15" fillId="3" borderId="43" xfId="0" applyFont="1" applyFill="1" applyBorder="1" applyAlignment="1">
      <alignment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5" fillId="7" borderId="28" xfId="0" applyFont="1" applyFill="1" applyBorder="1" applyAlignment="1">
      <alignment horizontal="center" vertical="center"/>
    </xf>
    <xf numFmtId="0" fontId="15" fillId="7" borderId="37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29" xfId="0" applyFont="1" applyFill="1" applyBorder="1" applyAlignment="1">
      <alignment horizontal="center" vertical="center"/>
    </xf>
    <xf numFmtId="0" fontId="12" fillId="3" borderId="49" xfId="0" applyFont="1" applyFill="1" applyBorder="1" applyAlignment="1">
      <alignment vertical="center"/>
    </xf>
    <xf numFmtId="0" fontId="25" fillId="3" borderId="51" xfId="0" applyFont="1" applyFill="1" applyBorder="1" applyAlignment="1">
      <alignment horizontal="center" vertical="center" wrapText="1"/>
    </xf>
    <xf numFmtId="0" fontId="25" fillId="3" borderId="52" xfId="0" applyFont="1" applyFill="1" applyBorder="1" applyAlignment="1">
      <alignment horizontal="center" vertical="center" wrapText="1"/>
    </xf>
    <xf numFmtId="0" fontId="25" fillId="3" borderId="53" xfId="0" applyFont="1" applyFill="1" applyBorder="1" applyAlignment="1">
      <alignment horizontal="center" vertical="center" wrapText="1"/>
    </xf>
    <xf numFmtId="0" fontId="0" fillId="3" borderId="54" xfId="0" applyFill="1" applyBorder="1" applyAlignment="1">
      <alignment vertical="center"/>
    </xf>
    <xf numFmtId="0" fontId="25" fillId="3" borderId="55" xfId="0" applyFont="1" applyFill="1" applyBorder="1" applyAlignment="1">
      <alignment horizontal="center" vertical="center" wrapText="1"/>
    </xf>
    <xf numFmtId="0" fontId="8" fillId="11" borderId="61" xfId="0" applyFont="1" applyFill="1" applyBorder="1" applyAlignment="1">
      <alignment horizontal="center" vertical="center"/>
    </xf>
    <xf numFmtId="0" fontId="12" fillId="8" borderId="50" xfId="0" applyFont="1" applyFill="1" applyBorder="1" applyAlignment="1">
      <alignment vertical="center"/>
    </xf>
    <xf numFmtId="0" fontId="0" fillId="8" borderId="56" xfId="0" applyFill="1" applyBorder="1" applyAlignment="1">
      <alignment vertical="center"/>
    </xf>
    <xf numFmtId="0" fontId="0" fillId="3" borderId="51" xfId="0" applyFill="1" applyBorder="1" applyAlignment="1">
      <alignment horizontal="center" vertical="center"/>
    </xf>
    <xf numFmtId="0" fontId="0" fillId="3" borderId="53" xfId="0" applyFill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8" borderId="57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9" borderId="51" xfId="0" applyFill="1" applyBorder="1" applyAlignment="1">
      <alignment horizontal="center" vertical="center"/>
    </xf>
    <xf numFmtId="0" fontId="0" fillId="9" borderId="53" xfId="0" applyFill="1" applyBorder="1" applyAlignment="1">
      <alignment horizontal="center" vertical="center"/>
    </xf>
    <xf numFmtId="0" fontId="0" fillId="9" borderId="52" xfId="0" applyFill="1" applyBorder="1" applyAlignment="1">
      <alignment horizontal="center" vertical="center"/>
    </xf>
    <xf numFmtId="0" fontId="15" fillId="11" borderId="42" xfId="0" applyFont="1" applyFill="1" applyBorder="1" applyAlignment="1">
      <alignment horizontal="center" vertical="center"/>
    </xf>
    <xf numFmtId="0" fontId="15" fillId="2" borderId="67" xfId="0" applyFont="1" applyFill="1" applyBorder="1" applyAlignment="1">
      <alignment horizontal="center" vertical="center"/>
    </xf>
    <xf numFmtId="9" fontId="0" fillId="8" borderId="59" xfId="1" applyFont="1" applyFill="1" applyBorder="1" applyAlignment="1">
      <alignment horizontal="center" vertical="center"/>
    </xf>
    <xf numFmtId="9" fontId="0" fillId="3" borderId="52" xfId="1" applyFont="1" applyFill="1" applyBorder="1" applyAlignment="1">
      <alignment horizontal="center" vertical="center"/>
    </xf>
    <xf numFmtId="0" fontId="29" fillId="5" borderId="0" xfId="0" applyFont="1" applyFill="1" applyAlignment="1">
      <alignment vertical="center"/>
    </xf>
    <xf numFmtId="0" fontId="0" fillId="3" borderId="38" xfId="0" applyFill="1" applyBorder="1" applyAlignment="1">
      <alignment vertical="center"/>
    </xf>
    <xf numFmtId="0" fontId="0" fillId="3" borderId="39" xfId="0" applyFill="1" applyBorder="1" applyAlignment="1">
      <alignment vertical="center"/>
    </xf>
    <xf numFmtId="0" fontId="0" fillId="3" borderId="40" xfId="0" applyFill="1" applyBorder="1" applyAlignment="1">
      <alignment vertical="center"/>
    </xf>
    <xf numFmtId="0" fontId="0" fillId="3" borderId="41" xfId="0" applyFill="1" applyBorder="1" applyAlignment="1">
      <alignment vertical="center"/>
    </xf>
    <xf numFmtId="0" fontId="0" fillId="3" borderId="43" xfId="0" applyFill="1" applyBorder="1" applyAlignment="1">
      <alignment vertical="center"/>
    </xf>
    <xf numFmtId="0" fontId="0" fillId="3" borderId="45" xfId="0" applyFill="1" applyBorder="1" applyAlignment="1">
      <alignment vertical="center"/>
    </xf>
    <xf numFmtId="0" fontId="0" fillId="3" borderId="68" xfId="0" applyFill="1" applyBorder="1" applyAlignment="1">
      <alignment vertical="center"/>
    </xf>
    <xf numFmtId="0" fontId="12" fillId="8" borderId="71" xfId="0" applyFont="1" applyFill="1" applyBorder="1" applyAlignment="1">
      <alignment vertical="center"/>
    </xf>
    <xf numFmtId="0" fontId="12" fillId="8" borderId="33" xfId="0" applyFont="1" applyFill="1" applyBorder="1" applyAlignment="1">
      <alignment vertical="center"/>
    </xf>
    <xf numFmtId="0" fontId="12" fillId="8" borderId="46" xfId="0" applyFont="1" applyFill="1" applyBorder="1" applyAlignment="1">
      <alignment vertical="center"/>
    </xf>
    <xf numFmtId="0" fontId="20" fillId="0" borderId="0" xfId="0" applyFont="1" applyAlignment="1">
      <alignment vertical="top"/>
    </xf>
    <xf numFmtId="0" fontId="0" fillId="0" borderId="83" xfId="0" applyBorder="1" applyAlignment="1">
      <alignment horizontal="center" vertical="center"/>
    </xf>
    <xf numFmtId="0" fontId="12" fillId="0" borderId="83" xfId="0" applyFont="1" applyBorder="1" applyAlignment="1">
      <alignment horizontal="center" vertical="center"/>
    </xf>
    <xf numFmtId="0" fontId="12" fillId="8" borderId="83" xfId="0" applyFont="1" applyFill="1" applyBorder="1" applyAlignment="1">
      <alignment horizontal="center" vertical="center"/>
    </xf>
    <xf numFmtId="0" fontId="0" fillId="8" borderId="83" xfId="0" applyFill="1" applyBorder="1" applyAlignment="1">
      <alignment horizontal="center" vertical="center"/>
    </xf>
    <xf numFmtId="0" fontId="0" fillId="12" borderId="0" xfId="0" applyFill="1" applyAlignment="1">
      <alignment vertical="center"/>
    </xf>
    <xf numFmtId="0" fontId="12" fillId="12" borderId="0" xfId="0" applyFont="1" applyFill="1" applyAlignment="1">
      <alignment vertical="center"/>
    </xf>
    <xf numFmtId="0" fontId="0" fillId="3" borderId="85" xfId="0" applyFill="1" applyBorder="1" applyAlignment="1">
      <alignment vertical="center"/>
    </xf>
    <xf numFmtId="0" fontId="0" fillId="3" borderId="86" xfId="0" applyFill="1" applyBorder="1" applyAlignment="1">
      <alignment vertical="center"/>
    </xf>
    <xf numFmtId="0" fontId="0" fillId="3" borderId="87" xfId="0" applyFill="1" applyBorder="1" applyAlignment="1">
      <alignment vertical="center"/>
    </xf>
    <xf numFmtId="0" fontId="0" fillId="3" borderId="49" xfId="0" applyFill="1" applyBorder="1" applyAlignment="1">
      <alignment vertical="center"/>
    </xf>
    <xf numFmtId="0" fontId="0" fillId="3" borderId="49" xfId="0" quotePrefix="1" applyFill="1" applyBorder="1" applyAlignment="1">
      <alignment vertical="center"/>
    </xf>
    <xf numFmtId="0" fontId="0" fillId="3" borderId="50" xfId="0" applyFill="1" applyBorder="1" applyAlignment="1">
      <alignment vertical="center"/>
    </xf>
    <xf numFmtId="0" fontId="0" fillId="3" borderId="88" xfId="0" applyFill="1" applyBorder="1" applyAlignment="1">
      <alignment vertical="center"/>
    </xf>
    <xf numFmtId="0" fontId="0" fillId="3" borderId="56" xfId="0" applyFill="1" applyBorder="1" applyAlignment="1">
      <alignment vertical="center"/>
    </xf>
    <xf numFmtId="0" fontId="0" fillId="3" borderId="90" xfId="0" applyFill="1" applyBorder="1" applyAlignment="1">
      <alignment vertical="center"/>
    </xf>
    <xf numFmtId="0" fontId="0" fillId="8" borderId="138" xfId="0" applyFill="1" applyBorder="1" applyAlignment="1">
      <alignment horizontal="center" vertical="center"/>
    </xf>
    <xf numFmtId="0" fontId="0" fillId="14" borderId="0" xfId="0" applyFill="1" applyAlignment="1">
      <alignment vertical="center"/>
    </xf>
    <xf numFmtId="0" fontId="15" fillId="14" borderId="0" xfId="0" applyFont="1" applyFill="1" applyAlignment="1">
      <alignment horizontal="left" vertical="center" indent="1"/>
    </xf>
    <xf numFmtId="0" fontId="0" fillId="0" borderId="139" xfId="0" applyBorder="1" applyAlignment="1">
      <alignment horizontal="center" vertical="center"/>
    </xf>
    <xf numFmtId="0" fontId="0" fillId="0" borderId="144" xfId="0" applyBorder="1" applyAlignment="1">
      <alignment horizontal="center" vertical="center"/>
    </xf>
    <xf numFmtId="0" fontId="40" fillId="0" borderId="143" xfId="0" applyFont="1" applyBorder="1" applyAlignment="1">
      <alignment vertical="center"/>
    </xf>
    <xf numFmtId="0" fontId="0" fillId="0" borderId="143" xfId="0" applyBorder="1" applyAlignment="1">
      <alignment vertical="center"/>
    </xf>
    <xf numFmtId="0" fontId="0" fillId="0" borderId="145" xfId="0" applyBorder="1" applyAlignment="1">
      <alignment horizontal="center" vertical="center"/>
    </xf>
    <xf numFmtId="0" fontId="0" fillId="0" borderId="146" xfId="0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0" fontId="0" fillId="0" borderId="147" xfId="0" applyBorder="1" applyAlignment="1">
      <alignment horizontal="center" vertical="center"/>
    </xf>
    <xf numFmtId="0" fontId="0" fillId="0" borderId="150" xfId="0" applyBorder="1" applyAlignment="1">
      <alignment horizontal="center" vertical="center"/>
    </xf>
    <xf numFmtId="0" fontId="0" fillId="0" borderId="142" xfId="0" applyBorder="1" applyAlignment="1">
      <alignment horizontal="center" vertical="center"/>
    </xf>
    <xf numFmtId="0" fontId="0" fillId="0" borderId="152" xfId="0" applyBorder="1" applyAlignment="1">
      <alignment vertical="center"/>
    </xf>
    <xf numFmtId="0" fontId="0" fillId="0" borderId="152" xfId="0" quotePrefix="1" applyBorder="1" applyAlignment="1">
      <alignment vertical="center"/>
    </xf>
    <xf numFmtId="0" fontId="0" fillId="0" borderId="153" xfId="0" applyBorder="1" applyAlignment="1">
      <alignment horizontal="center" vertical="center"/>
    </xf>
    <xf numFmtId="0" fontId="0" fillId="0" borderId="154" xfId="0" applyBorder="1" applyAlignment="1">
      <alignment vertical="center"/>
    </xf>
    <xf numFmtId="0" fontId="0" fillId="0" borderId="155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0" fillId="0" borderId="149" xfId="0" applyBorder="1" applyAlignment="1">
      <alignment vertical="center"/>
    </xf>
    <xf numFmtId="0" fontId="0" fillId="0" borderId="157" xfId="0" applyBorder="1" applyAlignment="1">
      <alignment vertical="center"/>
    </xf>
    <xf numFmtId="0" fontId="0" fillId="0" borderId="158" xfId="0" applyBorder="1" applyAlignment="1">
      <alignment horizontal="center" vertical="center"/>
    </xf>
    <xf numFmtId="0" fontId="0" fillId="0" borderId="160" xfId="0" applyBorder="1" applyAlignment="1">
      <alignment horizontal="center" vertical="center"/>
    </xf>
    <xf numFmtId="0" fontId="0" fillId="0" borderId="161" xfId="0" applyBorder="1" applyAlignment="1">
      <alignment vertical="center"/>
    </xf>
    <xf numFmtId="0" fontId="0" fillId="0" borderId="141" xfId="0" applyBorder="1" applyAlignment="1">
      <alignment horizontal="center" vertical="center"/>
    </xf>
    <xf numFmtId="0" fontId="0" fillId="0" borderId="162" xfId="0" applyBorder="1" applyAlignment="1">
      <alignment vertical="center"/>
    </xf>
    <xf numFmtId="0" fontId="0" fillId="0" borderId="140" xfId="0" applyBorder="1" applyAlignment="1">
      <alignment horizontal="center" vertical="center"/>
    </xf>
    <xf numFmtId="0" fontId="0" fillId="0" borderId="151" xfId="0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0" fillId="0" borderId="159" xfId="0" applyBorder="1" applyAlignment="1">
      <alignment horizontal="center" vertical="center"/>
    </xf>
    <xf numFmtId="0" fontId="0" fillId="3" borderId="159" xfId="0" applyFill="1" applyBorder="1" applyAlignment="1">
      <alignment horizontal="center" vertical="center"/>
    </xf>
    <xf numFmtId="0" fontId="0" fillId="15" borderId="83" xfId="0" applyFill="1" applyBorder="1" applyAlignment="1">
      <alignment horizontal="center" vertical="center"/>
    </xf>
    <xf numFmtId="0" fontId="0" fillId="15" borderId="69" xfId="0" applyFill="1" applyBorder="1" applyAlignment="1">
      <alignment horizontal="center" vertical="center"/>
    </xf>
    <xf numFmtId="0" fontId="0" fillId="15" borderId="68" xfId="0" applyFill="1" applyBorder="1" applyAlignment="1">
      <alignment horizontal="center" vertical="center"/>
    </xf>
    <xf numFmtId="0" fontId="0" fillId="15" borderId="51" xfId="0" applyFill="1" applyBorder="1" applyAlignment="1">
      <alignment horizontal="center" vertical="center"/>
    </xf>
    <xf numFmtId="0" fontId="0" fillId="15" borderId="52" xfId="0" applyFill="1" applyBorder="1" applyAlignment="1">
      <alignment horizontal="center" vertical="center"/>
    </xf>
    <xf numFmtId="0" fontId="0" fillId="15" borderId="59" xfId="0" applyFill="1" applyBorder="1" applyAlignment="1">
      <alignment horizontal="center" vertical="center"/>
    </xf>
    <xf numFmtId="0" fontId="0" fillId="15" borderId="53" xfId="0" applyFill="1" applyBorder="1" applyAlignment="1">
      <alignment horizontal="center" vertical="center"/>
    </xf>
    <xf numFmtId="0" fontId="0" fillId="15" borderId="89" xfId="0" applyFill="1" applyBorder="1" applyAlignment="1">
      <alignment horizontal="center" vertical="center"/>
    </xf>
    <xf numFmtId="0" fontId="0" fillId="8" borderId="26" xfId="0" applyFill="1" applyBorder="1" applyAlignment="1">
      <alignment horizontal="center" vertical="center"/>
    </xf>
    <xf numFmtId="0" fontId="0" fillId="8" borderId="70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87" xfId="0" applyFill="1" applyBorder="1" applyAlignment="1">
      <alignment horizontal="center" vertical="center"/>
    </xf>
    <xf numFmtId="0" fontId="40" fillId="0" borderId="163" xfId="0" applyFont="1" applyBorder="1" applyAlignment="1">
      <alignment horizontal="center" vertical="center"/>
    </xf>
    <xf numFmtId="0" fontId="40" fillId="3" borderId="139" xfId="0" applyFont="1" applyFill="1" applyBorder="1" applyAlignment="1">
      <alignment horizontal="center" vertical="center"/>
    </xf>
    <xf numFmtId="0" fontId="40" fillId="3" borderId="165" xfId="0" applyFont="1" applyFill="1" applyBorder="1" applyAlignment="1">
      <alignment horizontal="center" vertical="center"/>
    </xf>
    <xf numFmtId="0" fontId="40" fillId="3" borderId="144" xfId="0" applyFont="1" applyFill="1" applyBorder="1" applyAlignment="1">
      <alignment horizontal="center" vertical="center"/>
    </xf>
    <xf numFmtId="0" fontId="0" fillId="3" borderId="139" xfId="0" applyFill="1" applyBorder="1" applyAlignment="1">
      <alignment horizontal="center" vertical="center"/>
    </xf>
    <xf numFmtId="0" fontId="0" fillId="3" borderId="157" xfId="0" applyFill="1" applyBorder="1" applyAlignment="1">
      <alignment vertical="center"/>
    </xf>
    <xf numFmtId="0" fontId="0" fillId="3" borderId="167" xfId="0" applyFill="1" applyBorder="1" applyAlignment="1">
      <alignment horizontal="center" vertical="center"/>
    </xf>
    <xf numFmtId="0" fontId="0" fillId="3" borderId="168" xfId="0" applyFill="1" applyBorder="1" applyAlignment="1">
      <alignment horizontal="center" vertical="center"/>
    </xf>
    <xf numFmtId="0" fontId="0" fillId="3" borderId="161" xfId="0" applyFill="1" applyBorder="1" applyAlignment="1">
      <alignment vertical="center"/>
    </xf>
    <xf numFmtId="0" fontId="0" fillId="3" borderId="0" xfId="0" applyFill="1" applyAlignment="1">
      <alignment horizontal="right" vertical="center" indent="1"/>
    </xf>
    <xf numFmtId="0" fontId="0" fillId="3" borderId="170" xfId="0" applyFill="1" applyBorder="1" applyAlignment="1">
      <alignment vertical="center"/>
    </xf>
    <xf numFmtId="0" fontId="39" fillId="0" borderId="0" xfId="0" applyFont="1" applyAlignment="1">
      <alignment horizontal="center" vertical="top"/>
    </xf>
    <xf numFmtId="0" fontId="40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43" fillId="0" borderId="139" xfId="0" applyFont="1" applyBorder="1" applyAlignment="1">
      <alignment horizontal="center" vertical="center"/>
    </xf>
    <xf numFmtId="0" fontId="0" fillId="3" borderId="143" xfId="0" applyFill="1" applyBorder="1" applyAlignment="1">
      <alignment vertical="center"/>
    </xf>
    <xf numFmtId="0" fontId="40" fillId="3" borderId="162" xfId="0" applyFont="1" applyFill="1" applyBorder="1" applyAlignment="1">
      <alignment vertical="center"/>
    </xf>
    <xf numFmtId="0" fontId="43" fillId="9" borderId="0" xfId="0" applyFont="1" applyFill="1" applyAlignment="1">
      <alignment vertical="center"/>
    </xf>
    <xf numFmtId="0" fontId="43" fillId="3" borderId="0" xfId="0" applyFont="1" applyFill="1" applyAlignment="1">
      <alignment vertical="center"/>
    </xf>
    <xf numFmtId="0" fontId="0" fillId="8" borderId="171" xfId="0" applyFill="1" applyBorder="1" applyAlignment="1">
      <alignment horizontal="left" vertical="center"/>
    </xf>
    <xf numFmtId="0" fontId="0" fillId="3" borderId="155" xfId="0" applyFill="1" applyBorder="1" applyAlignment="1">
      <alignment vertical="center"/>
    </xf>
    <xf numFmtId="0" fontId="0" fillId="3" borderId="176" xfId="0" applyFill="1" applyBorder="1" applyAlignment="1">
      <alignment horizontal="center" vertical="center"/>
    </xf>
    <xf numFmtId="0" fontId="45" fillId="3" borderId="139" xfId="0" applyFont="1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12" fillId="0" borderId="139" xfId="0" applyFont="1" applyBorder="1" applyAlignment="1">
      <alignment vertical="center"/>
    </xf>
    <xf numFmtId="0" fontId="0" fillId="3" borderId="177" xfId="0" applyFill="1" applyBorder="1" applyAlignment="1">
      <alignment horizontal="right" vertical="center" indent="1"/>
    </xf>
    <xf numFmtId="0" fontId="0" fillId="16" borderId="0" xfId="0" applyFill="1" applyAlignment="1">
      <alignment vertical="center"/>
    </xf>
    <xf numFmtId="0" fontId="40" fillId="16" borderId="173" xfId="0" applyFont="1" applyFill="1" applyBorder="1" applyAlignment="1">
      <alignment horizontal="center" vertical="center"/>
    </xf>
    <xf numFmtId="0" fontId="40" fillId="16" borderId="174" xfId="0" applyFont="1" applyFill="1" applyBorder="1" applyAlignment="1">
      <alignment horizontal="center" vertical="center"/>
    </xf>
    <xf numFmtId="0" fontId="40" fillId="16" borderId="178" xfId="0" applyFont="1" applyFill="1" applyBorder="1" applyAlignment="1">
      <alignment horizontal="center" vertical="center"/>
    </xf>
    <xf numFmtId="0" fontId="40" fillId="16" borderId="141" xfId="0" applyFont="1" applyFill="1" applyBorder="1" applyAlignment="1">
      <alignment horizontal="center" vertical="center"/>
    </xf>
    <xf numFmtId="0" fontId="0" fillId="0" borderId="88" xfId="0" applyBorder="1" applyAlignment="1">
      <alignment vertical="center"/>
    </xf>
    <xf numFmtId="0" fontId="0" fillId="3" borderId="179" xfId="0" applyFill="1" applyBorder="1" applyAlignment="1">
      <alignment horizontal="right" vertical="center"/>
    </xf>
    <xf numFmtId="0" fontId="0" fillId="0" borderId="54" xfId="0" applyBorder="1" applyAlignment="1">
      <alignment vertical="center"/>
    </xf>
    <xf numFmtId="0" fontId="0" fillId="3" borderId="182" xfId="0" applyFill="1" applyBorder="1" applyAlignment="1">
      <alignment vertical="center"/>
    </xf>
    <xf numFmtId="0" fontId="0" fillId="3" borderId="181" xfId="0" applyFill="1" applyBorder="1" applyAlignment="1">
      <alignment vertical="center"/>
    </xf>
    <xf numFmtId="0" fontId="0" fillId="8" borderId="164" xfId="0" applyFill="1" applyBorder="1" applyAlignment="1">
      <alignment horizontal="center" vertical="center"/>
    </xf>
    <xf numFmtId="0" fontId="0" fillId="3" borderId="181" xfId="0" applyFill="1" applyBorder="1" applyAlignment="1">
      <alignment horizontal="center" vertical="center"/>
    </xf>
    <xf numFmtId="0" fontId="12" fillId="3" borderId="181" xfId="0" applyFont="1" applyFill="1" applyBorder="1" applyAlignment="1">
      <alignment horizontal="center" vertical="center"/>
    </xf>
    <xf numFmtId="0" fontId="0" fillId="8" borderId="88" xfId="0" applyFill="1" applyBorder="1" applyAlignment="1">
      <alignment horizontal="center" vertical="center"/>
    </xf>
    <xf numFmtId="0" fontId="0" fillId="15" borderId="184" xfId="0" applyFill="1" applyBorder="1" applyAlignment="1">
      <alignment horizontal="center" vertical="center"/>
    </xf>
    <xf numFmtId="0" fontId="0" fillId="0" borderId="87" xfId="0" applyBorder="1" applyAlignment="1">
      <alignment vertical="center"/>
    </xf>
    <xf numFmtId="0" fontId="15" fillId="7" borderId="45" xfId="0" applyFont="1" applyFill="1" applyBorder="1" applyAlignment="1">
      <alignment horizontal="center" vertical="center"/>
    </xf>
    <xf numFmtId="0" fontId="15" fillId="7" borderId="67" xfId="0" applyFont="1" applyFill="1" applyBorder="1" applyAlignment="1">
      <alignment horizontal="center" vertical="center"/>
    </xf>
    <xf numFmtId="0" fontId="40" fillId="3" borderId="169" xfId="0" applyFont="1" applyFill="1" applyBorder="1" applyAlignment="1">
      <alignment horizontal="center" vertical="center"/>
    </xf>
    <xf numFmtId="0" fontId="0" fillId="3" borderId="48" xfId="0" applyFill="1" applyBorder="1" applyAlignment="1">
      <alignment vertical="center"/>
    </xf>
    <xf numFmtId="0" fontId="12" fillId="8" borderId="201" xfId="0" applyFont="1" applyFill="1" applyBorder="1" applyAlignment="1">
      <alignment vertical="center"/>
    </xf>
    <xf numFmtId="0" fontId="0" fillId="3" borderId="202" xfId="0" applyFill="1" applyBorder="1" applyAlignment="1">
      <alignment vertical="center"/>
    </xf>
    <xf numFmtId="0" fontId="0" fillId="0" borderId="49" xfId="0" applyBorder="1" applyAlignment="1">
      <alignment vertical="center"/>
    </xf>
    <xf numFmtId="0" fontId="40" fillId="3" borderId="50" xfId="0" applyFont="1" applyFill="1" applyBorder="1" applyAlignment="1">
      <alignment vertical="center"/>
    </xf>
    <xf numFmtId="0" fontId="43" fillId="3" borderId="57" xfId="0" applyFont="1" applyFill="1" applyBorder="1" applyAlignment="1">
      <alignment horizontal="center" vertical="center"/>
    </xf>
    <xf numFmtId="0" fontId="43" fillId="3" borderId="88" xfId="0" applyFont="1" applyFill="1" applyBorder="1" applyAlignment="1">
      <alignment vertical="center"/>
    </xf>
    <xf numFmtId="0" fontId="43" fillId="3" borderId="56" xfId="0" applyFont="1" applyFill="1" applyBorder="1" applyAlignment="1">
      <alignment vertical="center"/>
    </xf>
    <xf numFmtId="0" fontId="56" fillId="0" borderId="0" xfId="0" applyFont="1" applyAlignment="1">
      <alignment horizontal="left" vertical="center" indent="1"/>
    </xf>
    <xf numFmtId="0" fontId="15" fillId="3" borderId="51" xfId="0" applyFont="1" applyFill="1" applyBorder="1" applyAlignment="1">
      <alignment horizontal="center" vertical="center"/>
    </xf>
    <xf numFmtId="0" fontId="15" fillId="3" borderId="53" xfId="0" applyFont="1" applyFill="1" applyBorder="1" applyAlignment="1">
      <alignment horizontal="center" vertical="center"/>
    </xf>
    <xf numFmtId="0" fontId="15" fillId="3" borderId="52" xfId="0" applyFont="1" applyFill="1" applyBorder="1" applyAlignment="1">
      <alignment horizontal="center" vertical="center"/>
    </xf>
    <xf numFmtId="0" fontId="43" fillId="3" borderId="205" xfId="0" applyFont="1" applyFill="1" applyBorder="1" applyAlignment="1">
      <alignment horizontal="center" vertical="center"/>
    </xf>
    <xf numFmtId="0" fontId="43" fillId="3" borderId="233" xfId="0" applyFont="1" applyFill="1" applyBorder="1" applyAlignment="1">
      <alignment horizontal="center" vertical="center"/>
    </xf>
    <xf numFmtId="0" fontId="52" fillId="3" borderId="181" xfId="0" applyFont="1" applyFill="1" applyBorder="1" applyAlignment="1">
      <alignment horizontal="right" vertical="center" indent="1"/>
    </xf>
    <xf numFmtId="0" fontId="0" fillId="15" borderId="234" xfId="0" applyFill="1" applyBorder="1" applyAlignment="1">
      <alignment horizontal="center" vertical="center"/>
    </xf>
    <xf numFmtId="0" fontId="0" fillId="15" borderId="182" xfId="0" applyFill="1" applyBorder="1" applyAlignment="1">
      <alignment horizontal="center" vertical="center"/>
    </xf>
    <xf numFmtId="0" fontId="52" fillId="0" borderId="0" xfId="0" applyFont="1" applyAlignment="1">
      <alignment vertical="top"/>
    </xf>
    <xf numFmtId="0" fontId="51" fillId="0" borderId="0" xfId="0" applyFont="1" applyAlignment="1">
      <alignment horizontal="right" vertical="top"/>
    </xf>
    <xf numFmtId="0" fontId="51" fillId="0" borderId="0" xfId="0" applyFont="1" applyAlignment="1">
      <alignment horizontal="center" vertical="top"/>
    </xf>
    <xf numFmtId="0" fontId="51" fillId="0" borderId="0" xfId="0" applyFont="1" applyAlignment="1">
      <alignment vertical="center"/>
    </xf>
    <xf numFmtId="0" fontId="0" fillId="9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4" borderId="0" xfId="0" applyFill="1" applyAlignment="1" applyProtection="1">
      <alignment vertical="center"/>
      <protection hidden="1"/>
    </xf>
    <xf numFmtId="0" fontId="4" fillId="4" borderId="0" xfId="0" applyFont="1" applyFill="1" applyAlignment="1" applyProtection="1">
      <alignment vertical="center"/>
      <protection hidden="1"/>
    </xf>
    <xf numFmtId="0" fontId="4" fillId="3" borderId="0" xfId="0" applyFont="1" applyFill="1" applyAlignment="1" applyProtection="1">
      <alignment vertical="center"/>
      <protection hidden="1"/>
    </xf>
    <xf numFmtId="0" fontId="15" fillId="9" borderId="1" xfId="0" applyFont="1" applyFill="1" applyBorder="1" applyAlignment="1" applyProtection="1">
      <alignment vertical="center"/>
      <protection hidden="1"/>
    </xf>
    <xf numFmtId="0" fontId="15" fillId="9" borderId="2" xfId="0" applyFont="1" applyFill="1" applyBorder="1" applyAlignment="1" applyProtection="1">
      <alignment vertical="center"/>
      <protection hidden="1"/>
    </xf>
    <xf numFmtId="0" fontId="15" fillId="9" borderId="3" xfId="0" applyFont="1" applyFill="1" applyBorder="1" applyAlignment="1" applyProtection="1">
      <alignment vertical="center"/>
      <protection hidden="1"/>
    </xf>
    <xf numFmtId="0" fontId="15" fillId="9" borderId="4" xfId="0" applyFont="1" applyFill="1" applyBorder="1" applyAlignment="1" applyProtection="1">
      <alignment vertical="center"/>
      <protection hidden="1"/>
    </xf>
    <xf numFmtId="0" fontId="47" fillId="9" borderId="0" xfId="0" applyFont="1" applyFill="1" applyAlignment="1" applyProtection="1">
      <alignment vertical="center"/>
      <protection hidden="1"/>
    </xf>
    <xf numFmtId="0" fontId="15" fillId="9" borderId="0" xfId="0" applyFont="1" applyFill="1" applyAlignment="1" applyProtection="1">
      <alignment vertical="center"/>
      <protection hidden="1"/>
    </xf>
    <xf numFmtId="0" fontId="15" fillId="9" borderId="5" xfId="0" applyFont="1" applyFill="1" applyBorder="1" applyAlignment="1" applyProtection="1">
      <alignment vertical="center"/>
      <protection hidden="1"/>
    </xf>
    <xf numFmtId="0" fontId="5" fillId="9" borderId="0" xfId="0" applyFont="1" applyFill="1" applyAlignment="1" applyProtection="1">
      <alignment vertical="center"/>
      <protection hidden="1"/>
    </xf>
    <xf numFmtId="0" fontId="18" fillId="9" borderId="0" xfId="0" applyFont="1" applyFill="1" applyAlignment="1" applyProtection="1">
      <alignment horizontal="left" vertical="center" indent="3"/>
      <protection hidden="1"/>
    </xf>
    <xf numFmtId="0" fontId="10" fillId="9" borderId="0" xfId="0" applyFont="1" applyFill="1" applyAlignment="1" applyProtection="1">
      <alignment horizontal="left" vertical="center" indent="3"/>
      <protection hidden="1"/>
    </xf>
    <xf numFmtId="0" fontId="26" fillId="9" borderId="0" xfId="0" applyFont="1" applyFill="1" applyAlignment="1" applyProtection="1">
      <alignment horizontal="left" vertical="center" indent="3"/>
      <protection hidden="1"/>
    </xf>
    <xf numFmtId="0" fontId="15" fillId="9" borderId="20" xfId="0" applyFont="1" applyFill="1" applyBorder="1" applyAlignment="1" applyProtection="1">
      <alignment vertical="center"/>
      <protection hidden="1"/>
    </xf>
    <xf numFmtId="0" fontId="15" fillId="9" borderId="18" xfId="0" applyFont="1" applyFill="1" applyBorder="1" applyAlignment="1" applyProtection="1">
      <alignment vertical="center"/>
      <protection hidden="1"/>
    </xf>
    <xf numFmtId="0" fontId="15" fillId="9" borderId="19" xfId="0" applyFont="1" applyFill="1" applyBorder="1" applyAlignment="1" applyProtection="1">
      <alignment vertical="center"/>
      <protection hidden="1"/>
    </xf>
    <xf numFmtId="0" fontId="15" fillId="9" borderId="73" xfId="0" applyFont="1" applyFill="1" applyBorder="1" applyAlignment="1" applyProtection="1">
      <alignment vertical="center"/>
      <protection hidden="1"/>
    </xf>
    <xf numFmtId="0" fontId="15" fillId="9" borderId="6" xfId="0" applyFont="1" applyFill="1" applyBorder="1" applyAlignment="1" applyProtection="1">
      <alignment vertical="center"/>
      <protection hidden="1"/>
    </xf>
    <xf numFmtId="0" fontId="15" fillId="9" borderId="7" xfId="0" applyFont="1" applyFill="1" applyBorder="1" applyAlignment="1" applyProtection="1">
      <alignment vertical="center"/>
      <protection hidden="1"/>
    </xf>
    <xf numFmtId="0" fontId="15" fillId="9" borderId="8" xfId="0" applyFont="1" applyFill="1" applyBorder="1" applyAlignment="1" applyProtection="1">
      <alignment vertical="center"/>
      <protection hidden="1"/>
    </xf>
    <xf numFmtId="0" fontId="15" fillId="3" borderId="9" xfId="0" applyFont="1" applyFill="1" applyBorder="1" applyAlignment="1" applyProtection="1">
      <alignment vertical="center"/>
      <protection hidden="1"/>
    </xf>
    <xf numFmtId="0" fontId="15" fillId="3" borderId="0" xfId="0" applyFont="1" applyFill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15" fillId="4" borderId="1" xfId="0" applyFont="1" applyFill="1" applyBorder="1" applyAlignment="1" applyProtection="1">
      <alignment vertical="center"/>
      <protection hidden="1"/>
    </xf>
    <xf numFmtId="0" fontId="15" fillId="4" borderId="3" xfId="0" applyFont="1" applyFill="1" applyBorder="1" applyAlignment="1" applyProtection="1">
      <alignment vertical="center"/>
      <protection hidden="1"/>
    </xf>
    <xf numFmtId="0" fontId="15" fillId="3" borderId="20" xfId="0" applyFont="1" applyFill="1" applyBorder="1" applyAlignment="1" applyProtection="1">
      <alignment vertical="center"/>
      <protection hidden="1"/>
    </xf>
    <xf numFmtId="0" fontId="16" fillId="3" borderId="18" xfId="0" applyFont="1" applyFill="1" applyBorder="1" applyAlignment="1" applyProtection="1">
      <alignment vertical="center"/>
      <protection hidden="1"/>
    </xf>
    <xf numFmtId="0" fontId="15" fillId="3" borderId="18" xfId="0" applyFont="1" applyFill="1" applyBorder="1" applyAlignment="1" applyProtection="1">
      <alignment vertical="center"/>
      <protection hidden="1"/>
    </xf>
    <xf numFmtId="0" fontId="15" fillId="3" borderId="19" xfId="0" applyFont="1" applyFill="1" applyBorder="1" applyAlignment="1" applyProtection="1">
      <alignment vertical="center"/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0" fillId="10" borderId="5" xfId="0" applyFill="1" applyBorder="1" applyAlignment="1" applyProtection="1">
      <alignment vertical="center"/>
      <protection hidden="1"/>
    </xf>
    <xf numFmtId="0" fontId="0" fillId="3" borderId="20" xfId="0" applyFill="1" applyBorder="1" applyAlignment="1" applyProtection="1">
      <alignment vertical="center"/>
      <protection hidden="1"/>
    </xf>
    <xf numFmtId="0" fontId="0" fillId="3" borderId="18" xfId="0" applyFill="1" applyBorder="1" applyAlignment="1" applyProtection="1">
      <alignment vertical="center"/>
      <protection hidden="1"/>
    </xf>
    <xf numFmtId="0" fontId="0" fillId="10" borderId="78" xfId="0" applyFill="1" applyBorder="1" applyAlignment="1" applyProtection="1">
      <alignment vertical="center"/>
      <protection hidden="1"/>
    </xf>
    <xf numFmtId="0" fontId="0" fillId="3" borderId="19" xfId="0" applyFill="1" applyBorder="1" applyAlignment="1" applyProtection="1">
      <alignment vertical="center"/>
      <protection hidden="1"/>
    </xf>
    <xf numFmtId="0" fontId="0" fillId="3" borderId="7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9" borderId="1" xfId="0" applyFill="1" applyBorder="1" applyAlignment="1" applyProtection="1">
      <alignment vertical="center"/>
      <protection hidden="1"/>
    </xf>
    <xf numFmtId="0" fontId="0" fillId="9" borderId="2" xfId="0" applyFill="1" applyBorder="1" applyAlignment="1" applyProtection="1">
      <alignment vertical="center"/>
      <protection hidden="1"/>
    </xf>
    <xf numFmtId="0" fontId="0" fillId="9" borderId="3" xfId="0" applyFill="1" applyBorder="1" applyAlignment="1" applyProtection="1">
      <alignment vertical="center"/>
      <protection hidden="1"/>
    </xf>
    <xf numFmtId="0" fontId="0" fillId="9" borderId="4" xfId="0" applyFill="1" applyBorder="1" applyAlignment="1" applyProtection="1">
      <alignment vertical="center"/>
      <protection hidden="1"/>
    </xf>
    <xf numFmtId="0" fontId="0" fillId="9" borderId="5" xfId="0" applyFill="1" applyBorder="1" applyAlignment="1" applyProtection="1">
      <alignment vertical="center"/>
      <protection hidden="1"/>
    </xf>
    <xf numFmtId="0" fontId="0" fillId="9" borderId="6" xfId="0" applyFill="1" applyBorder="1" applyAlignment="1" applyProtection="1">
      <alignment vertical="center"/>
      <protection hidden="1"/>
    </xf>
    <xf numFmtId="0" fontId="0" fillId="9" borderId="7" xfId="0" applyFill="1" applyBorder="1" applyAlignment="1" applyProtection="1">
      <alignment vertical="center"/>
      <protection hidden="1"/>
    </xf>
    <xf numFmtId="0" fontId="0" fillId="9" borderId="8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194" xfId="0" applyFill="1" applyBorder="1" applyAlignment="1" applyProtection="1">
      <alignment vertical="center"/>
      <protection hidden="1"/>
    </xf>
    <xf numFmtId="0" fontId="41" fillId="3" borderId="2" xfId="0" applyFont="1" applyFill="1" applyBorder="1" applyProtection="1"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6" xfId="0" applyFill="1" applyBorder="1" applyAlignment="1" applyProtection="1">
      <alignment vertical="center"/>
      <protection hidden="1"/>
    </xf>
    <xf numFmtId="0" fontId="0" fillId="4" borderId="1" xfId="0" applyFill="1" applyBorder="1" applyAlignment="1" applyProtection="1">
      <alignment vertical="center"/>
      <protection hidden="1"/>
    </xf>
    <xf numFmtId="0" fontId="16" fillId="4" borderId="2" xfId="0" applyFont="1" applyFill="1" applyBorder="1" applyAlignment="1" applyProtection="1">
      <alignment vertical="center"/>
      <protection hidden="1"/>
    </xf>
    <xf numFmtId="0" fontId="0" fillId="4" borderId="2" xfId="0" applyFill="1" applyBorder="1" applyAlignment="1" applyProtection="1">
      <alignment vertical="center"/>
      <protection hidden="1"/>
    </xf>
    <xf numFmtId="0" fontId="0" fillId="4" borderId="3" xfId="0" applyFill="1" applyBorder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3" fillId="3" borderId="0" xfId="0" applyFont="1" applyFill="1" applyAlignment="1" applyProtection="1">
      <alignment vertical="center"/>
      <protection hidden="1"/>
    </xf>
    <xf numFmtId="0" fontId="31" fillId="3" borderId="0" xfId="0" applyFont="1" applyFill="1" applyAlignment="1" applyProtection="1">
      <alignment vertical="top"/>
      <protection hidden="1"/>
    </xf>
    <xf numFmtId="0" fontId="19" fillId="3" borderId="0" xfId="0" applyFont="1" applyFill="1" applyAlignment="1" applyProtection="1">
      <alignment vertical="top"/>
      <protection hidden="1"/>
    </xf>
    <xf numFmtId="0" fontId="15" fillId="3" borderId="0" xfId="0" applyFont="1" applyFill="1" applyAlignment="1" applyProtection="1">
      <alignment vertical="top"/>
      <protection hidden="1"/>
    </xf>
    <xf numFmtId="0" fontId="24" fillId="3" borderId="0" xfId="0" applyFont="1" applyFill="1" applyAlignment="1" applyProtection="1">
      <alignment horizontal="center" vertical="center"/>
      <protection hidden="1"/>
    </xf>
    <xf numFmtId="0" fontId="22" fillId="9" borderId="0" xfId="0" applyFont="1" applyFill="1" applyAlignment="1" applyProtection="1">
      <alignment horizontal="center" vertical="center"/>
      <protection hidden="1"/>
    </xf>
    <xf numFmtId="0" fontId="15" fillId="3" borderId="0" xfId="0" applyFont="1" applyFill="1" applyProtection="1">
      <protection hidden="1"/>
    </xf>
    <xf numFmtId="0" fontId="0" fillId="3" borderId="21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left" vertical="center"/>
      <protection hidden="1"/>
    </xf>
    <xf numFmtId="0" fontId="0" fillId="3" borderId="22" xfId="0" applyFill="1" applyBorder="1" applyAlignment="1" applyProtection="1">
      <alignment vertical="center"/>
      <protection hidden="1"/>
    </xf>
    <xf numFmtId="0" fontId="0" fillId="10" borderId="24" xfId="0" applyFill="1" applyBorder="1" applyAlignment="1" applyProtection="1">
      <alignment vertical="center"/>
      <protection hidden="1"/>
    </xf>
    <xf numFmtId="0" fontId="0" fillId="10" borderId="0" xfId="0" applyFill="1" applyAlignment="1" applyProtection="1">
      <alignment vertical="center"/>
      <protection hidden="1"/>
    </xf>
    <xf numFmtId="0" fontId="0" fillId="10" borderId="21" xfId="0" applyFill="1" applyBorder="1" applyAlignment="1" applyProtection="1">
      <alignment vertical="center"/>
      <protection hidden="1"/>
    </xf>
    <xf numFmtId="0" fontId="0" fillId="3" borderId="15" xfId="0" applyFill="1" applyBorder="1" applyAlignment="1" applyProtection="1">
      <alignment horizontal="right" vertical="center" indent="1"/>
      <protection hidden="1"/>
    </xf>
    <xf numFmtId="0" fontId="0" fillId="3" borderId="14" xfId="0" applyFill="1" applyBorder="1" applyAlignment="1" applyProtection="1">
      <alignment vertical="center"/>
      <protection hidden="1"/>
    </xf>
    <xf numFmtId="0" fontId="0" fillId="3" borderId="13" xfId="0" applyFill="1" applyBorder="1" applyAlignment="1" applyProtection="1">
      <alignment vertical="center"/>
      <protection hidden="1"/>
    </xf>
    <xf numFmtId="0" fontId="20" fillId="3" borderId="17" xfId="0" applyFont="1" applyFill="1" applyBorder="1" applyAlignment="1" applyProtection="1">
      <alignment horizontal="center" vertical="center" wrapText="1"/>
      <protection hidden="1"/>
    </xf>
    <xf numFmtId="0" fontId="20" fillId="3" borderId="16" xfId="0" applyFont="1" applyFill="1" applyBorder="1" applyAlignment="1" applyProtection="1">
      <alignment horizontal="center" vertical="center" wrapText="1"/>
      <protection hidden="1"/>
    </xf>
    <xf numFmtId="0" fontId="17" fillId="3" borderId="0" xfId="0" applyFont="1" applyFill="1" applyAlignment="1" applyProtection="1">
      <alignment vertical="center"/>
      <protection hidden="1"/>
    </xf>
    <xf numFmtId="164" fontId="0" fillId="6" borderId="17" xfId="0" applyNumberFormat="1" applyFill="1" applyBorder="1" applyAlignment="1" applyProtection="1">
      <alignment horizontal="center" vertical="center"/>
      <protection locked="0" hidden="1"/>
    </xf>
    <xf numFmtId="164" fontId="0" fillId="6" borderId="16" xfId="0" applyNumberFormat="1" applyFill="1" applyBorder="1" applyAlignment="1" applyProtection="1">
      <alignment horizontal="center" vertical="center"/>
      <protection locked="0" hidden="1"/>
    </xf>
    <xf numFmtId="0" fontId="17" fillId="3" borderId="14" xfId="0" applyFont="1" applyFill="1" applyBorder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4" fillId="3" borderId="0" xfId="0" applyFont="1" applyFill="1" applyAlignment="1" applyProtection="1">
      <alignment horizontal="left" vertical="center" indent="1"/>
      <protection hidden="1"/>
    </xf>
    <xf numFmtId="0" fontId="0" fillId="3" borderId="0" xfId="0" applyFill="1" applyProtection="1"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horizontal="center" vertical="center"/>
      <protection hidden="1"/>
    </xf>
    <xf numFmtId="164" fontId="0" fillId="6" borderId="12" xfId="0" applyNumberFormat="1" applyFill="1" applyBorder="1" applyAlignment="1" applyProtection="1">
      <alignment horizontal="center" vertical="center"/>
      <protection locked="0" hidden="1"/>
    </xf>
    <xf numFmtId="0" fontId="0" fillId="3" borderId="0" xfId="0" quotePrefix="1" applyFill="1" applyAlignment="1" applyProtection="1">
      <alignment vertical="center"/>
      <protection hidden="1"/>
    </xf>
    <xf numFmtId="0" fontId="0" fillId="10" borderId="4" xfId="0" applyFill="1" applyBorder="1" applyAlignment="1" applyProtection="1">
      <alignment vertical="center"/>
      <protection hidden="1"/>
    </xf>
    <xf numFmtId="0" fontId="0" fillId="3" borderId="23" xfId="0" applyFill="1" applyBorder="1" applyAlignment="1" applyProtection="1">
      <alignment vertical="center"/>
      <protection hidden="1"/>
    </xf>
    <xf numFmtId="0" fontId="0" fillId="9" borderId="20" xfId="0" applyFill="1" applyBorder="1" applyAlignment="1" applyProtection="1">
      <alignment vertical="center"/>
      <protection hidden="1"/>
    </xf>
    <xf numFmtId="0" fontId="2" fillId="9" borderId="18" xfId="0" applyFont="1" applyFill="1" applyBorder="1" applyAlignment="1" applyProtection="1">
      <alignment vertical="center"/>
      <protection hidden="1"/>
    </xf>
    <xf numFmtId="0" fontId="0" fillId="9" borderId="18" xfId="0" applyFill="1" applyBorder="1" applyAlignment="1" applyProtection="1">
      <alignment vertical="center"/>
      <protection hidden="1"/>
    </xf>
    <xf numFmtId="0" fontId="0" fillId="9" borderId="19" xfId="0" applyFill="1" applyBorder="1" applyAlignment="1" applyProtection="1">
      <alignment vertical="center"/>
      <protection hidden="1"/>
    </xf>
    <xf numFmtId="0" fontId="20" fillId="3" borderId="7" xfId="0" applyFont="1" applyFill="1" applyBorder="1" applyAlignment="1" applyProtection="1">
      <alignment horizontal="right" vertical="top"/>
      <protection hidden="1"/>
    </xf>
    <xf numFmtId="164" fontId="20" fillId="3" borderId="7" xfId="0" applyNumberFormat="1" applyFont="1" applyFill="1" applyBorder="1" applyAlignment="1" applyProtection="1">
      <alignment horizontal="center" vertical="top"/>
      <protection hidden="1"/>
    </xf>
    <xf numFmtId="0" fontId="28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horizontal="right" vertical="top"/>
      <protection hidden="1"/>
    </xf>
    <xf numFmtId="0" fontId="20" fillId="3" borderId="0" xfId="0" applyFont="1" applyFill="1" applyAlignment="1" applyProtection="1">
      <alignment horizontal="center" vertical="top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0" fillId="3" borderId="73" xfId="0" applyFill="1" applyBorder="1" applyAlignment="1" applyProtection="1">
      <alignment vertical="center"/>
      <protection hidden="1"/>
    </xf>
    <xf numFmtId="0" fontId="30" fillId="3" borderId="0" xfId="0" applyFont="1" applyFill="1" applyAlignment="1" applyProtection="1">
      <alignment vertical="center"/>
      <protection hidden="1"/>
    </xf>
    <xf numFmtId="0" fontId="0" fillId="3" borderId="72" xfId="0" applyFill="1" applyBorder="1" applyAlignment="1" applyProtection="1">
      <alignment vertical="center"/>
      <protection hidden="1"/>
    </xf>
    <xf numFmtId="0" fontId="2" fillId="10" borderId="77" xfId="0" applyFont="1" applyFill="1" applyBorder="1" applyAlignment="1" applyProtection="1">
      <alignment vertical="center"/>
      <protection hidden="1"/>
    </xf>
    <xf numFmtId="0" fontId="0" fillId="10" borderId="77" xfId="0" applyFill="1" applyBorder="1" applyAlignment="1" applyProtection="1">
      <alignment vertical="center"/>
      <protection hidden="1"/>
    </xf>
    <xf numFmtId="0" fontId="0" fillId="3" borderId="74" xfId="0" applyFill="1" applyBorder="1" applyAlignment="1" applyProtection="1">
      <alignment vertical="center"/>
      <protection hidden="1"/>
    </xf>
    <xf numFmtId="0" fontId="0" fillId="3" borderId="75" xfId="0" applyFill="1" applyBorder="1" applyAlignment="1" applyProtection="1">
      <alignment vertical="center"/>
      <protection hidden="1"/>
    </xf>
    <xf numFmtId="0" fontId="15" fillId="3" borderId="75" xfId="0" applyFont="1" applyFill="1" applyBorder="1" applyAlignment="1" applyProtection="1">
      <alignment vertical="top"/>
      <protection hidden="1"/>
    </xf>
    <xf numFmtId="0" fontId="0" fillId="3" borderId="76" xfId="0" applyFill="1" applyBorder="1" applyAlignment="1" applyProtection="1">
      <alignment vertical="center"/>
      <protection hidden="1"/>
    </xf>
    <xf numFmtId="0" fontId="0" fillId="3" borderId="5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34" fillId="3" borderId="0" xfId="0" applyFont="1" applyFill="1" applyProtection="1">
      <protection hidden="1"/>
    </xf>
    <xf numFmtId="0" fontId="0" fillId="3" borderId="73" xfId="0" applyFill="1" applyBorder="1" applyProtection="1">
      <protection hidden="1"/>
    </xf>
    <xf numFmtId="0" fontId="0" fillId="4" borderId="0" xfId="0" applyFill="1" applyProtection="1">
      <protection hidden="1"/>
    </xf>
    <xf numFmtId="0" fontId="32" fillId="3" borderId="0" xfId="0" applyFont="1" applyFill="1" applyAlignment="1" applyProtection="1">
      <alignment horizontal="left" vertical="center" indent="2"/>
      <protection hidden="1"/>
    </xf>
    <xf numFmtId="0" fontId="0" fillId="3" borderId="79" xfId="0" applyFill="1" applyBorder="1" applyAlignment="1" applyProtection="1">
      <alignment vertical="center"/>
      <protection hidden="1"/>
    </xf>
    <xf numFmtId="0" fontId="33" fillId="3" borderId="0" xfId="0" applyFont="1" applyFill="1" applyAlignment="1" applyProtection="1">
      <alignment horizontal="left" vertical="center" indent="2"/>
      <protection hidden="1"/>
    </xf>
    <xf numFmtId="0" fontId="32" fillId="3" borderId="0" xfId="0" applyFont="1" applyFill="1" applyAlignment="1" applyProtection="1">
      <alignment vertical="center"/>
      <protection hidden="1"/>
    </xf>
    <xf numFmtId="0" fontId="0" fillId="3" borderId="80" xfId="0" applyFill="1" applyBorder="1" applyAlignment="1" applyProtection="1">
      <alignment vertical="center"/>
      <protection hidden="1"/>
    </xf>
    <xf numFmtId="0" fontId="0" fillId="3" borderId="82" xfId="0" applyFill="1" applyBorder="1" applyAlignment="1" applyProtection="1">
      <alignment vertical="center"/>
      <protection hidden="1"/>
    </xf>
    <xf numFmtId="0" fontId="0" fillId="3" borderId="81" xfId="0" applyFill="1" applyBorder="1" applyAlignment="1" applyProtection="1">
      <alignment vertical="center"/>
      <protection hidden="1"/>
    </xf>
    <xf numFmtId="0" fontId="1" fillId="9" borderId="0" xfId="0" applyFont="1" applyFill="1" applyAlignment="1" applyProtection="1">
      <alignment vertical="center"/>
      <protection hidden="1"/>
    </xf>
    <xf numFmtId="0" fontId="0" fillId="9" borderId="93" xfId="0" applyFill="1" applyBorder="1" applyAlignment="1" applyProtection="1">
      <alignment horizontal="left" vertical="center" indent="1"/>
      <protection hidden="1"/>
    </xf>
    <xf numFmtId="0" fontId="20" fillId="9" borderId="106" xfId="0" applyFont="1" applyFill="1" applyBorder="1" applyAlignment="1" applyProtection="1">
      <alignment horizontal="center" vertical="center" wrapText="1"/>
      <protection hidden="1"/>
    </xf>
    <xf numFmtId="0" fontId="20" fillId="9" borderId="107" xfId="0" applyFont="1" applyFill="1" applyBorder="1" applyAlignment="1" applyProtection="1">
      <alignment horizontal="center" vertical="center" wrapText="1"/>
      <protection hidden="1"/>
    </xf>
    <xf numFmtId="0" fontId="20" fillId="9" borderId="108" xfId="0" applyFont="1" applyFill="1" applyBorder="1" applyAlignment="1" applyProtection="1">
      <alignment horizontal="center" vertical="center" wrapText="1"/>
      <protection hidden="1"/>
    </xf>
    <xf numFmtId="0" fontId="0" fillId="9" borderId="21" xfId="0" applyFill="1" applyBorder="1" applyAlignment="1" applyProtection="1">
      <alignment vertical="center"/>
      <protection hidden="1"/>
    </xf>
    <xf numFmtId="165" fontId="0" fillId="9" borderId="101" xfId="0" applyNumberFormat="1" applyFill="1" applyBorder="1" applyAlignment="1" applyProtection="1">
      <alignment horizontal="center" vertical="center"/>
      <protection hidden="1"/>
    </xf>
    <xf numFmtId="165" fontId="0" fillId="9" borderId="112" xfId="0" applyNumberFormat="1" applyFill="1" applyBorder="1" applyAlignment="1" applyProtection="1">
      <alignment horizontal="center" vertical="center"/>
      <protection hidden="1"/>
    </xf>
    <xf numFmtId="166" fontId="0" fillId="9" borderId="125" xfId="1" applyNumberFormat="1" applyFont="1" applyFill="1" applyBorder="1" applyAlignment="1" applyProtection="1">
      <alignment horizontal="center" vertical="center"/>
      <protection hidden="1"/>
    </xf>
    <xf numFmtId="165" fontId="0" fillId="9" borderId="102" xfId="0" applyNumberFormat="1" applyFill="1" applyBorder="1" applyAlignment="1" applyProtection="1">
      <alignment horizontal="center" vertical="center"/>
      <protection hidden="1"/>
    </xf>
    <xf numFmtId="165" fontId="0" fillId="9" borderId="113" xfId="0" applyNumberFormat="1" applyFill="1" applyBorder="1" applyAlignment="1" applyProtection="1">
      <alignment horizontal="center" vertical="center"/>
      <protection hidden="1"/>
    </xf>
    <xf numFmtId="166" fontId="0" fillId="9" borderId="21" xfId="1" applyNumberFormat="1" applyFont="1" applyFill="1" applyBorder="1" applyAlignment="1" applyProtection="1">
      <alignment horizontal="center" vertical="center"/>
      <protection hidden="1"/>
    </xf>
    <xf numFmtId="165" fontId="0" fillId="9" borderId="103" xfId="0" applyNumberFormat="1" applyFill="1" applyBorder="1" applyAlignment="1" applyProtection="1">
      <alignment horizontal="center" vertical="center"/>
      <protection hidden="1"/>
    </xf>
    <xf numFmtId="165" fontId="0" fillId="9" borderId="114" xfId="0" applyNumberFormat="1" applyFill="1" applyBorder="1" applyAlignment="1" applyProtection="1">
      <alignment horizontal="center" vertical="center"/>
      <protection hidden="1"/>
    </xf>
    <xf numFmtId="166" fontId="0" fillId="9" borderId="124" xfId="1" applyNumberFormat="1" applyFont="1" applyFill="1" applyBorder="1" applyAlignment="1" applyProtection="1">
      <alignment horizontal="center" vertical="center"/>
      <protection hidden="1"/>
    </xf>
    <xf numFmtId="0" fontId="0" fillId="9" borderId="103" xfId="0" quotePrefix="1" applyFill="1" applyBorder="1" applyAlignment="1" applyProtection="1">
      <alignment horizontal="center" vertical="center"/>
      <protection hidden="1"/>
    </xf>
    <xf numFmtId="0" fontId="0" fillId="9" borderId="109" xfId="1" quotePrefix="1" applyNumberFormat="1" applyFont="1" applyFill="1" applyBorder="1" applyAlignment="1" applyProtection="1">
      <alignment horizontal="center" vertical="center"/>
      <protection hidden="1"/>
    </xf>
    <xf numFmtId="165" fontId="0" fillId="10" borderId="121" xfId="0" applyNumberFormat="1" applyFill="1" applyBorder="1" applyAlignment="1" applyProtection="1">
      <alignment horizontal="center" vertical="center"/>
      <protection hidden="1"/>
    </xf>
    <xf numFmtId="165" fontId="0" fillId="10" borderId="119" xfId="0" applyNumberFormat="1" applyFill="1" applyBorder="1" applyAlignment="1" applyProtection="1">
      <alignment horizontal="center" vertical="center"/>
      <protection hidden="1"/>
    </xf>
    <xf numFmtId="166" fontId="0" fillId="10" borderId="120" xfId="1" applyNumberFormat="1" applyFont="1" applyFill="1" applyBorder="1" applyAlignment="1" applyProtection="1">
      <alignment horizontal="center" vertical="center"/>
      <protection hidden="1"/>
    </xf>
    <xf numFmtId="165" fontId="0" fillId="9" borderId="105" xfId="0" applyNumberFormat="1" applyFill="1" applyBorder="1" applyAlignment="1" applyProtection="1">
      <alignment horizontal="center" vertical="center"/>
      <protection hidden="1"/>
    </xf>
    <xf numFmtId="165" fontId="0" fillId="9" borderId="116" xfId="0" applyNumberFormat="1" applyFill="1" applyBorder="1" applyAlignment="1" applyProtection="1">
      <alignment horizontal="center" vertical="center"/>
      <protection hidden="1"/>
    </xf>
    <xf numFmtId="166" fontId="0" fillId="9" borderId="111" xfId="1" applyNumberFormat="1" applyFont="1" applyFill="1" applyBorder="1" applyAlignment="1" applyProtection="1">
      <alignment horizontal="center" vertical="center"/>
      <protection hidden="1"/>
    </xf>
    <xf numFmtId="166" fontId="0" fillId="9" borderId="126" xfId="1" applyNumberFormat="1" applyFont="1" applyFill="1" applyBorder="1" applyAlignment="1" applyProtection="1">
      <alignment horizontal="center" vertical="center"/>
      <protection hidden="1"/>
    </xf>
    <xf numFmtId="165" fontId="0" fillId="10" borderId="118" xfId="0" applyNumberFormat="1" applyFill="1" applyBorder="1" applyAlignment="1" applyProtection="1">
      <alignment horizontal="center" vertical="center"/>
      <protection hidden="1"/>
    </xf>
    <xf numFmtId="165" fontId="0" fillId="10" borderId="117" xfId="0" applyNumberFormat="1" applyFill="1" applyBorder="1" applyAlignment="1" applyProtection="1">
      <alignment horizontal="center" vertical="center"/>
      <protection hidden="1"/>
    </xf>
    <xf numFmtId="0" fontId="0" fillId="9" borderId="109" xfId="0" quotePrefix="1" applyFill="1" applyBorder="1" applyAlignment="1" applyProtection="1">
      <alignment horizontal="center" vertical="center"/>
      <protection hidden="1"/>
    </xf>
    <xf numFmtId="165" fontId="0" fillId="9" borderId="122" xfId="0" applyNumberFormat="1" applyFill="1" applyBorder="1" applyAlignment="1" applyProtection="1">
      <alignment horizontal="center" vertical="center"/>
      <protection hidden="1"/>
    </xf>
    <xf numFmtId="165" fontId="0" fillId="9" borderId="123" xfId="0" applyNumberFormat="1" applyFill="1" applyBorder="1" applyAlignment="1" applyProtection="1">
      <alignment horizontal="center" vertical="center"/>
      <protection hidden="1"/>
    </xf>
    <xf numFmtId="0" fontId="0" fillId="9" borderId="118" xfId="0" quotePrefix="1" applyFill="1" applyBorder="1" applyAlignment="1" applyProtection="1">
      <alignment horizontal="center" vertical="center"/>
      <protection hidden="1"/>
    </xf>
    <xf numFmtId="165" fontId="0" fillId="9" borderId="117" xfId="0" applyNumberFormat="1" applyFill="1" applyBorder="1" applyAlignment="1" applyProtection="1">
      <alignment horizontal="center" vertical="center"/>
      <protection hidden="1"/>
    </xf>
    <xf numFmtId="0" fontId="0" fillId="9" borderId="120" xfId="0" quotePrefix="1" applyFill="1" applyBorder="1" applyAlignment="1" applyProtection="1">
      <alignment horizontal="center" vertical="center"/>
      <protection hidden="1"/>
    </xf>
    <xf numFmtId="165" fontId="2" fillId="10" borderId="104" xfId="0" applyNumberFormat="1" applyFont="1" applyFill="1" applyBorder="1" applyAlignment="1" applyProtection="1">
      <alignment horizontal="center" vertical="center"/>
      <protection hidden="1"/>
    </xf>
    <xf numFmtId="165" fontId="2" fillId="10" borderId="115" xfId="0" applyNumberFormat="1" applyFont="1" applyFill="1" applyBorder="1" applyAlignment="1" applyProtection="1">
      <alignment horizontal="center" vertical="center"/>
      <protection hidden="1"/>
    </xf>
    <xf numFmtId="166" fontId="2" fillId="10" borderId="110" xfId="0" applyNumberFormat="1" applyFont="1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right" vertical="top" indent="1"/>
      <protection hidden="1"/>
    </xf>
    <xf numFmtId="0" fontId="0" fillId="3" borderId="127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right" vertical="center" indent="1"/>
      <protection hidden="1"/>
    </xf>
    <xf numFmtId="0" fontId="0" fillId="3" borderId="91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right" vertical="center"/>
      <protection hidden="1"/>
    </xf>
    <xf numFmtId="0" fontId="2" fillId="3" borderId="75" xfId="0" applyFont="1" applyFill="1" applyBorder="1" applyAlignment="1" applyProtection="1">
      <alignment vertical="center"/>
      <protection hidden="1"/>
    </xf>
    <xf numFmtId="0" fontId="0" fillId="3" borderId="75" xfId="0" quotePrefix="1" applyFill="1" applyBorder="1" applyAlignment="1" applyProtection="1">
      <alignment horizontal="right" vertical="center" indent="1"/>
      <protection hidden="1"/>
    </xf>
    <xf numFmtId="0" fontId="0" fillId="18" borderId="73" xfId="0" applyFill="1" applyBorder="1" applyAlignment="1" applyProtection="1">
      <alignment vertical="center"/>
      <protection hidden="1"/>
    </xf>
    <xf numFmtId="0" fontId="26" fillId="4" borderId="3" xfId="0" applyFont="1" applyFill="1" applyBorder="1" applyAlignment="1" applyProtection="1">
      <alignment vertical="center" wrapText="1"/>
      <protection hidden="1"/>
    </xf>
    <xf numFmtId="0" fontId="0" fillId="3" borderId="134" xfId="0" applyFill="1" applyBorder="1" applyAlignment="1" applyProtection="1">
      <alignment vertical="center"/>
      <protection hidden="1"/>
    </xf>
    <xf numFmtId="0" fontId="30" fillId="3" borderId="21" xfId="0" applyFont="1" applyFill="1" applyBorder="1" applyAlignment="1" applyProtection="1">
      <alignment horizontal="center" vertical="center" wrapText="1"/>
      <protection hidden="1"/>
    </xf>
    <xf numFmtId="0" fontId="0" fillId="3" borderId="21" xfId="0" applyFill="1" applyBorder="1" applyProtection="1">
      <protection hidden="1"/>
    </xf>
    <xf numFmtId="0" fontId="0" fillId="3" borderId="137" xfId="0" applyFill="1" applyBorder="1" applyAlignment="1" applyProtection="1">
      <alignment vertical="center"/>
      <protection hidden="1"/>
    </xf>
    <xf numFmtId="0" fontId="0" fillId="3" borderId="206" xfId="0" applyFill="1" applyBorder="1" applyAlignment="1" applyProtection="1">
      <alignment vertical="center"/>
      <protection hidden="1"/>
    </xf>
    <xf numFmtId="0" fontId="0" fillId="3" borderId="136" xfId="0" applyFill="1" applyBorder="1" applyAlignment="1" applyProtection="1">
      <alignment vertical="center"/>
      <protection hidden="1"/>
    </xf>
    <xf numFmtId="0" fontId="0" fillId="3" borderId="18" xfId="0" applyFill="1" applyBorder="1" applyAlignment="1" applyProtection="1">
      <alignment horizontal="center" vertical="center"/>
      <protection hidden="1"/>
    </xf>
    <xf numFmtId="0" fontId="0" fillId="13" borderId="217" xfId="0" applyFill="1" applyBorder="1" applyAlignment="1" applyProtection="1">
      <alignment horizontal="center" vertical="center"/>
      <protection hidden="1"/>
    </xf>
    <xf numFmtId="0" fontId="0" fillId="10" borderId="217" xfId="0" applyFill="1" applyBorder="1" applyAlignment="1" applyProtection="1">
      <alignment horizontal="right" vertical="center"/>
      <protection hidden="1"/>
    </xf>
    <xf numFmtId="164" fontId="2" fillId="9" borderId="212" xfId="0" applyNumberFormat="1" applyFont="1" applyFill="1" applyBorder="1" applyAlignment="1" applyProtection="1">
      <alignment horizontal="center" vertical="center"/>
      <protection hidden="1"/>
    </xf>
    <xf numFmtId="164" fontId="2" fillId="10" borderId="212" xfId="0" applyNumberFormat="1" applyFont="1" applyFill="1" applyBorder="1" applyAlignment="1" applyProtection="1">
      <alignment horizontal="center" vertical="center"/>
      <protection hidden="1"/>
    </xf>
    <xf numFmtId="164" fontId="2" fillId="13" borderId="212" xfId="0" applyNumberFormat="1" applyFont="1" applyFill="1" applyBorder="1" applyAlignment="1" applyProtection="1">
      <alignment horizontal="center" vertical="center"/>
      <protection hidden="1"/>
    </xf>
    <xf numFmtId="164" fontId="2" fillId="9" borderId="210" xfId="0" applyNumberFormat="1" applyFont="1" applyFill="1" applyBorder="1" applyAlignment="1" applyProtection="1">
      <alignment horizontal="center" vertical="center"/>
      <protection hidden="1"/>
    </xf>
    <xf numFmtId="164" fontId="2" fillId="10" borderId="210" xfId="0" applyNumberFormat="1" applyFont="1" applyFill="1" applyBorder="1" applyAlignment="1" applyProtection="1">
      <alignment horizontal="center" vertical="center"/>
      <protection hidden="1"/>
    </xf>
    <xf numFmtId="164" fontId="2" fillId="13" borderId="210" xfId="0" applyNumberFormat="1" applyFont="1" applyFill="1" applyBorder="1" applyAlignment="1" applyProtection="1">
      <alignment horizontal="center" vertical="center"/>
      <protection hidden="1"/>
    </xf>
    <xf numFmtId="164" fontId="38" fillId="3" borderId="225" xfId="0" applyNumberFormat="1" applyFont="1" applyFill="1" applyBorder="1" applyAlignment="1" applyProtection="1">
      <alignment horizontal="center" vertical="center"/>
      <protection hidden="1"/>
    </xf>
    <xf numFmtId="164" fontId="0" fillId="6" borderId="212" xfId="0" applyNumberFormat="1" applyFill="1" applyBorder="1" applyAlignment="1" applyProtection="1">
      <alignment horizontal="center" vertical="center"/>
      <protection locked="0" hidden="1"/>
    </xf>
    <xf numFmtId="164" fontId="0" fillId="6" borderId="210" xfId="0" applyNumberFormat="1" applyFill="1" applyBorder="1" applyAlignment="1" applyProtection="1">
      <alignment horizontal="center" vertical="center"/>
      <protection locked="0" hidden="1"/>
    </xf>
    <xf numFmtId="164" fontId="0" fillId="6" borderId="225" xfId="0" applyNumberFormat="1" applyFill="1" applyBorder="1" applyAlignment="1" applyProtection="1">
      <alignment horizontal="center" vertical="center"/>
      <protection locked="0" hidden="1"/>
    </xf>
    <xf numFmtId="164" fontId="0" fillId="3" borderId="229" xfId="0" quotePrefix="1" applyNumberFormat="1" applyFill="1" applyBorder="1" applyAlignment="1" applyProtection="1">
      <alignment horizontal="center" vertical="center"/>
      <protection hidden="1"/>
    </xf>
    <xf numFmtId="164" fontId="0" fillId="6" borderId="229" xfId="0" applyNumberFormat="1" applyFill="1" applyBorder="1" applyAlignment="1" applyProtection="1">
      <alignment horizontal="center" vertical="center"/>
      <protection locked="0" hidden="1"/>
    </xf>
    <xf numFmtId="0" fontId="37" fillId="3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35" fillId="3" borderId="0" xfId="0" applyFont="1" applyFill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vertical="center"/>
      <protection hidden="1"/>
    </xf>
    <xf numFmtId="0" fontId="42" fillId="3" borderId="0" xfId="0" applyFont="1" applyFill="1" applyAlignment="1" applyProtection="1">
      <alignment horizontal="left" vertical="center" indent="2"/>
      <protection hidden="1"/>
    </xf>
    <xf numFmtId="0" fontId="0" fillId="0" borderId="237" xfId="0" applyBorder="1" applyAlignment="1">
      <alignment vertical="center"/>
    </xf>
    <xf numFmtId="0" fontId="12" fillId="8" borderId="238" xfId="0" applyFont="1" applyFill="1" applyBorder="1" applyAlignment="1">
      <alignment horizontal="center" vertical="center"/>
    </xf>
    <xf numFmtId="0" fontId="12" fillId="8" borderId="45" xfId="0" applyFont="1" applyFill="1" applyBorder="1" applyAlignment="1">
      <alignment horizontal="center" vertical="center"/>
    </xf>
    <xf numFmtId="0" fontId="0" fillId="0" borderId="241" xfId="0" applyBorder="1" applyAlignment="1">
      <alignment vertical="center"/>
    </xf>
    <xf numFmtId="0" fontId="12" fillId="8" borderId="27" xfId="0" applyFont="1" applyFill="1" applyBorder="1" applyAlignment="1">
      <alignment horizontal="center" vertical="center"/>
    </xf>
    <xf numFmtId="0" fontId="0" fillId="8" borderId="236" xfId="0" applyFill="1" applyBorder="1" applyAlignment="1">
      <alignment vertical="center"/>
    </xf>
    <xf numFmtId="0" fontId="0" fillId="8" borderId="239" xfId="0" applyFill="1" applyBorder="1" applyAlignment="1">
      <alignment vertical="center"/>
    </xf>
    <xf numFmtId="0" fontId="0" fillId="8" borderId="240" xfId="0" applyFill="1" applyBorder="1" applyAlignment="1">
      <alignment vertical="center"/>
    </xf>
    <xf numFmtId="0" fontId="4" fillId="9" borderId="0" xfId="0" applyFont="1" applyFill="1" applyAlignment="1" applyProtection="1">
      <alignment vertical="center"/>
      <protection hidden="1"/>
    </xf>
    <xf numFmtId="0" fontId="37" fillId="3" borderId="7" xfId="0" applyFont="1" applyFill="1" applyBorder="1" applyAlignment="1" applyProtection="1">
      <alignment horizontal="right" vertical="top"/>
      <protection hidden="1"/>
    </xf>
    <xf numFmtId="0" fontId="37" fillId="3" borderId="0" xfId="0" applyFont="1" applyFill="1" applyAlignment="1" applyProtection="1">
      <alignment horizontal="right" vertical="top"/>
      <protection hidden="1"/>
    </xf>
    <xf numFmtId="0" fontId="2" fillId="15" borderId="195" xfId="0" applyFont="1" applyFill="1" applyBorder="1" applyAlignment="1" applyProtection="1">
      <alignment horizontal="center" vertical="center"/>
      <protection hidden="1"/>
    </xf>
    <xf numFmtId="0" fontId="2" fillId="21" borderId="210" xfId="0" applyFont="1" applyFill="1" applyBorder="1" applyAlignment="1" applyProtection="1">
      <alignment horizontal="center" vertical="center"/>
      <protection hidden="1"/>
    </xf>
    <xf numFmtId="0" fontId="30" fillId="20" borderId="210" xfId="0" applyFont="1" applyFill="1" applyBorder="1" applyAlignment="1" applyProtection="1">
      <alignment horizontal="center" vertical="center"/>
      <protection hidden="1"/>
    </xf>
    <xf numFmtId="0" fontId="69" fillId="2" borderId="5" xfId="0" applyFont="1" applyFill="1" applyBorder="1" applyAlignment="1" applyProtection="1">
      <alignment vertical="center"/>
      <protection hidden="1"/>
    </xf>
    <xf numFmtId="0" fontId="0" fillId="9" borderId="77" xfId="0" applyFill="1" applyBorder="1" applyAlignment="1" applyProtection="1">
      <alignment vertical="center"/>
      <protection hidden="1"/>
    </xf>
    <xf numFmtId="0" fontId="15" fillId="9" borderId="0" xfId="0" applyFont="1" applyFill="1" applyAlignment="1" applyProtection="1">
      <alignment horizontal="left" vertical="center"/>
      <protection hidden="1"/>
    </xf>
    <xf numFmtId="0" fontId="15" fillId="3" borderId="0" xfId="0" applyFont="1" applyFill="1" applyAlignment="1" applyProtection="1">
      <alignment horizontal="left" vertical="center"/>
      <protection hidden="1"/>
    </xf>
    <xf numFmtId="0" fontId="15" fillId="3" borderId="5" xfId="0" applyFont="1" applyFill="1" applyBorder="1" applyAlignment="1" applyProtection="1">
      <alignment vertical="center"/>
      <protection hidden="1"/>
    </xf>
    <xf numFmtId="0" fontId="8" fillId="3" borderId="0" xfId="0" applyFont="1" applyFill="1" applyAlignment="1" applyProtection="1">
      <alignment horizontal="left" vertical="center"/>
      <protection hidden="1"/>
    </xf>
    <xf numFmtId="0" fontId="15" fillId="9" borderId="18" xfId="0" applyFont="1" applyFill="1" applyBorder="1" applyAlignment="1" applyProtection="1">
      <alignment horizontal="left" vertical="center"/>
      <protection hidden="1"/>
    </xf>
    <xf numFmtId="0" fontId="0" fillId="8" borderId="86" xfId="0" applyFill="1" applyBorder="1" applyAlignment="1">
      <alignment vertical="center"/>
    </xf>
    <xf numFmtId="0" fontId="0" fillId="0" borderId="164" xfId="0" applyBorder="1" applyAlignment="1">
      <alignment vertical="center"/>
    </xf>
    <xf numFmtId="0" fontId="12" fillId="8" borderId="85" xfId="0" applyFont="1" applyFill="1" applyBorder="1" applyAlignment="1">
      <alignment horizontal="center" vertical="center"/>
    </xf>
    <xf numFmtId="0" fontId="0" fillId="8" borderId="242" xfId="0" applyFill="1" applyBorder="1" applyAlignment="1">
      <alignment vertical="center"/>
    </xf>
    <xf numFmtId="0" fontId="0" fillId="0" borderId="171" xfId="0" applyBorder="1" applyAlignment="1">
      <alignment vertical="center"/>
    </xf>
    <xf numFmtId="0" fontId="12" fillId="8" borderId="243" xfId="0" applyFont="1" applyFill="1" applyBorder="1" applyAlignment="1">
      <alignment horizontal="center" vertical="center"/>
    </xf>
    <xf numFmtId="0" fontId="0" fillId="4" borderId="244" xfId="0" applyFill="1" applyBorder="1" applyAlignment="1" applyProtection="1">
      <alignment vertical="center"/>
      <protection hidden="1"/>
    </xf>
    <xf numFmtId="0" fontId="16" fillId="4" borderId="194" xfId="0" applyFont="1" applyFill="1" applyBorder="1" applyAlignment="1" applyProtection="1">
      <alignment vertical="center"/>
      <protection hidden="1"/>
    </xf>
    <xf numFmtId="0" fontId="0" fillId="4" borderId="194" xfId="0" applyFill="1" applyBorder="1" applyAlignment="1" applyProtection="1">
      <alignment vertical="center"/>
      <protection hidden="1"/>
    </xf>
    <xf numFmtId="0" fontId="0" fillId="4" borderId="245" xfId="0" applyFill="1" applyBorder="1" applyAlignment="1" applyProtection="1">
      <alignment vertical="center"/>
      <protection hidden="1"/>
    </xf>
    <xf numFmtId="0" fontId="2" fillId="10" borderId="78" xfId="0" applyFont="1" applyFill="1" applyBorder="1" applyAlignment="1" applyProtection="1">
      <alignment vertical="center"/>
      <protection hidden="1"/>
    </xf>
    <xf numFmtId="0" fontId="2" fillId="10" borderId="0" xfId="4" applyFont="1" applyFill="1" applyBorder="1" applyProtection="1">
      <alignment horizontal="left" vertical="center" indent="1"/>
      <protection hidden="1"/>
    </xf>
    <xf numFmtId="0" fontId="2" fillId="10" borderId="5" xfId="0" applyFont="1" applyFill="1" applyBorder="1" applyAlignment="1" applyProtection="1">
      <alignment vertical="center"/>
      <protection hidden="1"/>
    </xf>
    <xf numFmtId="0" fontId="0" fillId="3" borderId="265" xfId="0" applyFill="1" applyBorder="1" applyAlignment="1" applyProtection="1">
      <alignment vertical="center"/>
      <protection hidden="1"/>
    </xf>
    <xf numFmtId="0" fontId="15" fillId="22" borderId="0" xfId="0" applyFont="1" applyFill="1" applyAlignment="1" applyProtection="1">
      <alignment vertical="center"/>
      <protection hidden="1"/>
    </xf>
    <xf numFmtId="0" fontId="15" fillId="22" borderId="274" xfId="0" applyFont="1" applyFill="1" applyBorder="1" applyAlignment="1" applyProtection="1">
      <alignment vertical="center"/>
      <protection hidden="1"/>
    </xf>
    <xf numFmtId="0" fontId="0" fillId="3" borderId="275" xfId="0" applyFill="1" applyBorder="1" applyAlignment="1" applyProtection="1">
      <alignment vertical="center"/>
      <protection hidden="1"/>
    </xf>
    <xf numFmtId="0" fontId="0" fillId="3" borderId="264" xfId="0" applyFill="1" applyBorder="1" applyAlignment="1" applyProtection="1">
      <alignment vertical="center"/>
      <protection hidden="1"/>
    </xf>
    <xf numFmtId="0" fontId="0" fillId="3" borderId="256" xfId="0" applyFill="1" applyBorder="1" applyAlignment="1" applyProtection="1">
      <alignment vertical="center"/>
      <protection hidden="1"/>
    </xf>
    <xf numFmtId="0" fontId="73" fillId="10" borderId="0" xfId="0" applyFont="1" applyFill="1" applyAlignment="1" applyProtection="1">
      <alignment vertical="center"/>
      <protection hidden="1"/>
    </xf>
    <xf numFmtId="0" fontId="73" fillId="10" borderId="77" xfId="0" applyFont="1" applyFill="1" applyBorder="1" applyAlignment="1" applyProtection="1">
      <alignment vertical="center"/>
      <protection hidden="1"/>
    </xf>
    <xf numFmtId="0" fontId="0" fillId="3" borderId="196" xfId="0" applyFill="1" applyBorder="1" applyAlignment="1" applyProtection="1">
      <alignment vertical="center"/>
      <protection hidden="1"/>
    </xf>
    <xf numFmtId="0" fontId="0" fillId="3" borderId="262" xfId="0" applyFill="1" applyBorder="1" applyAlignment="1" applyProtection="1">
      <alignment vertical="center"/>
      <protection hidden="1"/>
    </xf>
    <xf numFmtId="0" fontId="0" fillId="3" borderId="255" xfId="0" applyFill="1" applyBorder="1" applyAlignment="1" applyProtection="1">
      <alignment vertical="center"/>
      <protection hidden="1"/>
    </xf>
    <xf numFmtId="0" fontId="0" fillId="3" borderId="257" xfId="0" applyFill="1" applyBorder="1" applyAlignment="1" applyProtection="1">
      <alignment vertical="center"/>
      <protection hidden="1"/>
    </xf>
    <xf numFmtId="0" fontId="0" fillId="3" borderId="77" xfId="0" applyFill="1" applyBorder="1" applyAlignment="1" applyProtection="1">
      <alignment vertical="center"/>
      <protection hidden="1"/>
    </xf>
    <xf numFmtId="0" fontId="0" fillId="3" borderId="285" xfId="0" applyFill="1" applyBorder="1" applyAlignment="1" applyProtection="1">
      <alignment vertical="center"/>
      <protection hidden="1"/>
    </xf>
    <xf numFmtId="0" fontId="0" fillId="3" borderId="216" xfId="0" applyFill="1" applyBorder="1" applyAlignment="1" applyProtection="1">
      <alignment vertical="center"/>
      <protection hidden="1"/>
    </xf>
    <xf numFmtId="0" fontId="0" fillId="3" borderId="213" xfId="0" applyFill="1" applyBorder="1" applyAlignment="1" applyProtection="1">
      <alignment vertical="center"/>
      <protection hidden="1"/>
    </xf>
    <xf numFmtId="0" fontId="0" fillId="4" borderId="287" xfId="0" applyFill="1" applyBorder="1" applyAlignment="1" applyProtection="1">
      <alignment vertical="center"/>
      <protection hidden="1"/>
    </xf>
    <xf numFmtId="0" fontId="16" fillId="4" borderId="9" xfId="0" applyFont="1" applyFill="1" applyBorder="1" applyAlignment="1" applyProtection="1">
      <alignment vertical="center"/>
      <protection hidden="1"/>
    </xf>
    <xf numFmtId="0" fontId="0" fillId="4" borderId="9" xfId="0" applyFill="1" applyBorder="1" applyAlignment="1" applyProtection="1">
      <alignment vertical="center"/>
      <protection hidden="1"/>
    </xf>
    <xf numFmtId="0" fontId="0" fillId="4" borderId="288" xfId="0" applyFill="1" applyBorder="1" applyAlignment="1" applyProtection="1">
      <alignment vertical="center"/>
      <protection hidden="1"/>
    </xf>
    <xf numFmtId="0" fontId="40" fillId="3" borderId="142" xfId="0" applyFont="1" applyFill="1" applyBorder="1" applyAlignment="1">
      <alignment horizontal="center" vertical="center"/>
    </xf>
    <xf numFmtId="0" fontId="15" fillId="3" borderId="0" xfId="4" applyFont="1" applyFill="1" applyBorder="1" applyAlignment="1" applyProtection="1">
      <alignment vertical="center"/>
      <protection hidden="1"/>
    </xf>
    <xf numFmtId="0" fontId="0" fillId="3" borderId="291" xfId="0" applyFill="1" applyBorder="1" applyAlignment="1">
      <alignment horizontal="center" vertical="center"/>
    </xf>
    <xf numFmtId="0" fontId="45" fillId="3" borderId="142" xfId="0" applyFont="1" applyFill="1" applyBorder="1" applyAlignment="1">
      <alignment horizontal="center" vertical="center"/>
    </xf>
    <xf numFmtId="0" fontId="45" fillId="3" borderId="172" xfId="0" applyFont="1" applyFill="1" applyBorder="1" applyAlignment="1">
      <alignment horizontal="center" vertical="center"/>
    </xf>
    <xf numFmtId="166" fontId="80" fillId="22" borderId="274" xfId="5" applyNumberFormat="1" applyFont="1" applyFill="1" applyBorder="1" applyProtection="1">
      <alignment horizontal="right" vertical="center" indent="1"/>
      <protection hidden="1"/>
    </xf>
    <xf numFmtId="0" fontId="40" fillId="3" borderId="294" xfId="0" applyFont="1" applyFill="1" applyBorder="1" applyAlignment="1">
      <alignment horizontal="center" vertical="center"/>
    </xf>
    <xf numFmtId="0" fontId="45" fillId="3" borderId="166" xfId="0" applyFont="1" applyFill="1" applyBorder="1" applyAlignment="1">
      <alignment horizontal="center" vertical="center"/>
    </xf>
    <xf numFmtId="0" fontId="45" fillId="3" borderId="146" xfId="0" applyFont="1" applyFill="1" applyBorder="1" applyAlignment="1">
      <alignment horizontal="center" vertical="center"/>
    </xf>
    <xf numFmtId="0" fontId="0" fillId="3" borderId="254" xfId="0" applyFill="1" applyBorder="1" applyAlignment="1" applyProtection="1">
      <alignment horizontal="center" vertical="center"/>
      <protection hidden="1"/>
    </xf>
    <xf numFmtId="0" fontId="0" fillId="3" borderId="258" xfId="0" applyFill="1" applyBorder="1" applyAlignment="1" applyProtection="1">
      <alignment horizontal="center" vertical="center"/>
      <protection hidden="1"/>
    </xf>
    <xf numFmtId="0" fontId="0" fillId="3" borderId="259" xfId="0" applyFill="1" applyBorder="1" applyAlignment="1" applyProtection="1">
      <alignment horizontal="center" vertical="center"/>
      <protection hidden="1"/>
    </xf>
    <xf numFmtId="0" fontId="15" fillId="0" borderId="254" xfId="3" applyFont="1" applyBorder="1" applyAlignment="1" applyProtection="1">
      <alignment horizontal="center" vertical="center"/>
      <protection hidden="1"/>
    </xf>
    <xf numFmtId="0" fontId="15" fillId="0" borderId="258" xfId="3" applyFont="1" applyBorder="1" applyAlignment="1" applyProtection="1">
      <alignment horizontal="center" vertical="center"/>
      <protection hidden="1"/>
    </xf>
    <xf numFmtId="0" fontId="15" fillId="0" borderId="259" xfId="3" applyFont="1" applyBorder="1" applyAlignment="1" applyProtection="1">
      <alignment horizontal="center" vertical="center"/>
      <protection hidden="1"/>
    </xf>
    <xf numFmtId="0" fontId="15" fillId="0" borderId="268" xfId="3" applyFont="1" applyBorder="1" applyAlignment="1" applyProtection="1">
      <alignment horizontal="center" vertical="center"/>
      <protection hidden="1"/>
    </xf>
    <xf numFmtId="0" fontId="15" fillId="0" borderId="277" xfId="3" applyFont="1" applyBorder="1" applyAlignment="1" applyProtection="1">
      <alignment horizontal="center" vertical="center"/>
      <protection hidden="1"/>
    </xf>
    <xf numFmtId="3" fontId="15" fillId="3" borderId="75" xfId="5" applyNumberFormat="1" applyFont="1" applyFill="1" applyBorder="1" applyProtection="1">
      <alignment horizontal="right" vertical="center" indent="1"/>
      <protection hidden="1"/>
    </xf>
    <xf numFmtId="6" fontId="15" fillId="3" borderId="75" xfId="5" applyNumberFormat="1" applyFont="1" applyFill="1" applyBorder="1" applyProtection="1">
      <alignment horizontal="right" vertical="center" indent="1"/>
      <protection hidden="1"/>
    </xf>
    <xf numFmtId="6" fontId="15" fillId="3" borderId="272" xfId="5" applyNumberFormat="1" applyFont="1" applyFill="1" applyBorder="1" applyProtection="1">
      <alignment horizontal="right" vertical="center" indent="1"/>
      <protection hidden="1"/>
    </xf>
    <xf numFmtId="0" fontId="15" fillId="0" borderId="195" xfId="3" applyFont="1" applyBorder="1" applyAlignment="1" applyProtection="1">
      <alignment horizontal="center" vertical="center"/>
      <protection hidden="1"/>
    </xf>
    <xf numFmtId="0" fontId="15" fillId="0" borderId="289" xfId="3" applyFont="1" applyBorder="1" applyAlignment="1" applyProtection="1">
      <alignment horizontal="center" vertical="center"/>
      <protection hidden="1"/>
    </xf>
    <xf numFmtId="0" fontId="15" fillId="3" borderId="264" xfId="3" applyFont="1" applyFill="1" applyBorder="1" applyAlignment="1" applyProtection="1">
      <alignment horizontal="right" vertical="center"/>
      <protection hidden="1"/>
    </xf>
    <xf numFmtId="0" fontId="15" fillId="3" borderId="265" xfId="3" applyFont="1" applyFill="1" applyBorder="1" applyAlignment="1" applyProtection="1">
      <alignment horizontal="right" vertical="center"/>
      <protection hidden="1"/>
    </xf>
    <xf numFmtId="0" fontId="0" fillId="3" borderId="248" xfId="4" applyFont="1" applyFill="1" applyBorder="1" applyProtection="1">
      <alignment horizontal="left" vertical="center" indent="1"/>
      <protection hidden="1"/>
    </xf>
    <xf numFmtId="0" fontId="0" fillId="3" borderId="248" xfId="0" applyFill="1" applyBorder="1" applyAlignment="1" applyProtection="1">
      <alignment vertical="center"/>
      <protection hidden="1"/>
    </xf>
    <xf numFmtId="3" fontId="15" fillId="0" borderId="255" xfId="3" applyNumberFormat="1" applyFont="1" applyBorder="1" applyAlignment="1" applyProtection="1">
      <alignment horizontal="right" vertical="center"/>
      <protection hidden="1"/>
    </xf>
    <xf numFmtId="3" fontId="15" fillId="0" borderId="257" xfId="3" applyNumberFormat="1" applyFont="1" applyBorder="1" applyAlignment="1" applyProtection="1">
      <alignment horizontal="right" vertical="center"/>
      <protection hidden="1"/>
    </xf>
    <xf numFmtId="0" fontId="12" fillId="0" borderId="0" xfId="0" applyFont="1" applyAlignment="1">
      <alignment horizontal="center" vertical="center"/>
    </xf>
    <xf numFmtId="0" fontId="0" fillId="3" borderId="171" xfId="0" applyFill="1" applyBorder="1" applyAlignment="1">
      <alignment vertical="center"/>
    </xf>
    <xf numFmtId="0" fontId="0" fillId="3" borderId="297" xfId="0" applyFill="1" applyBorder="1" applyAlignment="1">
      <alignment vertical="center"/>
    </xf>
    <xf numFmtId="0" fontId="0" fillId="3" borderId="53" xfId="0" applyFill="1" applyBorder="1" applyAlignment="1">
      <alignment vertical="center"/>
    </xf>
    <xf numFmtId="0" fontId="0" fillId="3" borderId="298" xfId="0" applyFill="1" applyBorder="1" applyAlignment="1">
      <alignment vertical="center"/>
    </xf>
    <xf numFmtId="0" fontId="0" fillId="8" borderId="48" xfId="0" applyFill="1" applyBorder="1" applyAlignment="1">
      <alignment vertical="center"/>
    </xf>
    <xf numFmtId="0" fontId="0" fillId="8" borderId="299" xfId="0" applyFill="1" applyBorder="1" applyAlignment="1">
      <alignment vertical="center"/>
    </xf>
    <xf numFmtId="0" fontId="84" fillId="3" borderId="18" xfId="0" applyFont="1" applyFill="1" applyBorder="1" applyAlignment="1" applyProtection="1">
      <alignment vertical="center"/>
      <protection hidden="1"/>
    </xf>
    <xf numFmtId="0" fontId="85" fillId="9" borderId="0" xfId="0" applyFont="1" applyFill="1" applyAlignment="1" applyProtection="1">
      <alignment vertical="center"/>
      <protection hidden="1"/>
    </xf>
    <xf numFmtId="0" fontId="0" fillId="3" borderId="0" xfId="4" applyFont="1" applyFill="1" applyBorder="1" applyAlignment="1" applyProtection="1">
      <alignment vertical="center"/>
      <protection hidden="1"/>
    </xf>
    <xf numFmtId="0" fontId="0" fillId="3" borderId="310" xfId="0" applyFill="1" applyBorder="1" applyAlignment="1" applyProtection="1">
      <alignment vertical="center"/>
      <protection hidden="1"/>
    </xf>
    <xf numFmtId="0" fontId="0" fillId="3" borderId="325" xfId="0" applyFill="1" applyBorder="1" applyAlignment="1" applyProtection="1">
      <alignment vertical="center"/>
      <protection hidden="1"/>
    </xf>
    <xf numFmtId="0" fontId="0" fillId="3" borderId="331" xfId="0" applyFill="1" applyBorder="1" applyAlignment="1" applyProtection="1">
      <alignment vertical="center"/>
      <protection hidden="1"/>
    </xf>
    <xf numFmtId="0" fontId="87" fillId="3" borderId="0" xfId="4" applyFont="1" applyFill="1" applyBorder="1" applyAlignment="1" applyProtection="1">
      <alignment horizontal="left" vertical="top" indent="1"/>
      <protection hidden="1"/>
    </xf>
    <xf numFmtId="0" fontId="90" fillId="3" borderId="0" xfId="4" applyFont="1" applyFill="1" applyBorder="1" applyAlignment="1" applyProtection="1">
      <alignment horizontal="left" vertical="top" indent="1"/>
      <protection hidden="1"/>
    </xf>
    <xf numFmtId="0" fontId="20" fillId="3" borderId="181" xfId="0" applyFont="1" applyFill="1" applyBorder="1" applyAlignment="1">
      <alignment horizontal="center" vertical="center" shrinkToFit="1"/>
    </xf>
    <xf numFmtId="0" fontId="0" fillId="0" borderId="48" xfId="0" applyBorder="1" applyAlignment="1">
      <alignment vertical="center"/>
    </xf>
    <xf numFmtId="0" fontId="92" fillId="3" borderId="0" xfId="0" applyFont="1" applyFill="1" applyAlignment="1" applyProtection="1">
      <alignment vertical="center"/>
      <protection hidden="1"/>
    </xf>
    <xf numFmtId="0" fontId="93" fillId="3" borderId="0" xfId="0" applyFont="1" applyFill="1" applyAlignment="1" applyProtection="1">
      <alignment vertical="center"/>
      <protection hidden="1"/>
    </xf>
    <xf numFmtId="0" fontId="94" fillId="3" borderId="0" xfId="0" applyFont="1" applyFill="1" applyAlignment="1" applyProtection="1">
      <alignment vertical="center"/>
      <protection hidden="1"/>
    </xf>
    <xf numFmtId="0" fontId="92" fillId="3" borderId="0" xfId="0" applyFont="1" applyFill="1" applyAlignment="1" applyProtection="1">
      <alignment horizontal="center" vertical="center"/>
      <protection hidden="1"/>
    </xf>
    <xf numFmtId="0" fontId="4" fillId="3" borderId="310" xfId="0" applyFont="1" applyFill="1" applyBorder="1" applyAlignment="1" applyProtection="1">
      <alignment vertical="center"/>
      <protection hidden="1"/>
    </xf>
    <xf numFmtId="0" fontId="0" fillId="3" borderId="343" xfId="0" applyFill="1" applyBorder="1" applyAlignment="1" applyProtection="1">
      <alignment vertical="center"/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44" fillId="16" borderId="0" xfId="0" applyFont="1" applyFill="1" applyAlignment="1" applyProtection="1">
      <alignment horizontal="left" vertical="top" indent="1"/>
      <protection hidden="1"/>
    </xf>
    <xf numFmtId="0" fontId="11" fillId="16" borderId="0" xfId="0" applyFont="1" applyFill="1" applyAlignment="1" applyProtection="1">
      <alignment horizontal="right" vertical="center"/>
      <protection hidden="1"/>
    </xf>
    <xf numFmtId="0" fontId="38" fillId="9" borderId="0" xfId="0" applyFont="1" applyFill="1" applyAlignment="1" applyProtection="1">
      <alignment vertical="center" wrapText="1"/>
      <protection hidden="1"/>
    </xf>
    <xf numFmtId="0" fontId="38" fillId="9" borderId="7" xfId="0" applyFont="1" applyFill="1" applyBorder="1" applyAlignment="1" applyProtection="1">
      <alignment vertical="center" wrapText="1"/>
      <protection hidden="1"/>
    </xf>
    <xf numFmtId="0" fontId="47" fillId="9" borderId="73" xfId="0" applyFont="1" applyFill="1" applyBorder="1" applyAlignment="1" applyProtection="1">
      <alignment vertical="center"/>
      <protection hidden="1"/>
    </xf>
    <xf numFmtId="0" fontId="38" fillId="9" borderId="73" xfId="0" applyFont="1" applyFill="1" applyBorder="1" applyAlignment="1" applyProtection="1">
      <alignment vertical="center"/>
      <protection hidden="1"/>
    </xf>
    <xf numFmtId="0" fontId="37" fillId="9" borderId="73" xfId="0" applyFont="1" applyFill="1" applyBorder="1" applyAlignment="1" applyProtection="1">
      <alignment vertical="center"/>
      <protection hidden="1"/>
    </xf>
    <xf numFmtId="0" fontId="15" fillId="9" borderId="214" xfId="0" applyFont="1" applyFill="1" applyBorder="1" applyAlignment="1" applyProtection="1">
      <alignment vertical="center"/>
      <protection hidden="1"/>
    </xf>
    <xf numFmtId="0" fontId="15" fillId="9" borderId="77" xfId="0" applyFont="1" applyFill="1" applyBorder="1" applyAlignment="1" applyProtection="1">
      <alignment vertical="center"/>
      <protection hidden="1"/>
    </xf>
    <xf numFmtId="0" fontId="15" fillId="9" borderId="81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 wrapText="1"/>
      <protection hidden="1"/>
    </xf>
    <xf numFmtId="0" fontId="38" fillId="9" borderId="8" xfId="0" applyFont="1" applyFill="1" applyBorder="1" applyAlignment="1" applyProtection="1">
      <alignment vertical="center" wrapText="1"/>
      <protection hidden="1"/>
    </xf>
    <xf numFmtId="0" fontId="0" fillId="9" borderId="0" xfId="0" applyFill="1" applyAlignment="1" applyProtection="1">
      <alignment horizontal="left" vertical="center"/>
      <protection hidden="1"/>
    </xf>
    <xf numFmtId="0" fontId="0" fillId="9" borderId="252" xfId="0" applyFill="1" applyBorder="1" applyProtection="1">
      <protection hidden="1"/>
    </xf>
    <xf numFmtId="0" fontId="0" fillId="9" borderId="293" xfId="0" applyFill="1" applyBorder="1" applyAlignment="1" applyProtection="1">
      <alignment vertical="center"/>
      <protection hidden="1"/>
    </xf>
    <xf numFmtId="0" fontId="0" fillId="9" borderId="253" xfId="0" applyFill="1" applyBorder="1" applyAlignment="1" applyProtection="1">
      <alignment vertical="center"/>
      <protection hidden="1"/>
    </xf>
    <xf numFmtId="0" fontId="0" fillId="9" borderId="300" xfId="0" applyFill="1" applyBorder="1" applyAlignment="1">
      <alignment horizontal="left" indent="2"/>
    </xf>
    <xf numFmtId="0" fontId="95" fillId="9" borderId="75" xfId="0" quotePrefix="1" applyFont="1" applyFill="1" applyBorder="1" applyAlignment="1">
      <alignment horizontal="center" vertical="center"/>
    </xf>
    <xf numFmtId="0" fontId="0" fillId="9" borderId="0" xfId="0" applyFill="1" applyAlignment="1">
      <alignment horizontal="center"/>
    </xf>
    <xf numFmtId="0" fontId="0" fillId="9" borderId="75" xfId="0" applyFill="1" applyBorder="1" applyAlignment="1" applyProtection="1">
      <alignment vertical="center"/>
      <protection hidden="1"/>
    </xf>
    <xf numFmtId="0" fontId="82" fillId="9" borderId="0" xfId="0" applyFont="1" applyFill="1" applyAlignment="1" applyProtection="1">
      <alignment horizontal="left" vertical="top" indent="1"/>
      <protection hidden="1"/>
    </xf>
    <xf numFmtId="0" fontId="95" fillId="9" borderId="0" xfId="0" applyFont="1" applyFill="1" applyAlignment="1" applyProtection="1">
      <alignment horizontal="left" indent="1"/>
      <protection hidden="1"/>
    </xf>
    <xf numFmtId="0" fontId="95" fillId="9" borderId="0" xfId="0" applyFont="1" applyFill="1" applyAlignment="1" applyProtection="1">
      <alignment horizontal="left" vertical="center" indent="1"/>
      <protection hidden="1"/>
    </xf>
    <xf numFmtId="0" fontId="0" fillId="16" borderId="0" xfId="0" applyFill="1" applyProtection="1"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15" fillId="10" borderId="4" xfId="0" applyFont="1" applyFill="1" applyBorder="1" applyAlignment="1" applyProtection="1">
      <alignment horizontal="center" vertical="center"/>
      <protection hidden="1"/>
    </xf>
    <xf numFmtId="0" fontId="15" fillId="10" borderId="0" xfId="0" applyFont="1" applyFill="1" applyAlignment="1" applyProtection="1">
      <alignment horizontal="center" vertical="center"/>
      <protection hidden="1"/>
    </xf>
    <xf numFmtId="0" fontId="15" fillId="10" borderId="5" xfId="0" applyFont="1" applyFill="1" applyBorder="1" applyAlignment="1" applyProtection="1">
      <alignment horizontal="center" vertical="center"/>
      <protection hidden="1"/>
    </xf>
    <xf numFmtId="0" fontId="15" fillId="3" borderId="4" xfId="0" applyFont="1" applyFill="1" applyBorder="1" applyAlignment="1" applyProtection="1">
      <alignment horizontal="center" vertical="center"/>
      <protection hidden="1"/>
    </xf>
    <xf numFmtId="0" fontId="15" fillId="3" borderId="0" xfId="0" applyFont="1" applyFill="1" applyAlignment="1" applyProtection="1">
      <alignment horizontal="center" vertical="center"/>
      <protection hidden="1"/>
    </xf>
    <xf numFmtId="0" fontId="15" fillId="3" borderId="5" xfId="0" applyFont="1" applyFill="1" applyBorder="1" applyAlignment="1" applyProtection="1">
      <alignment horizontal="center" vertical="center"/>
      <protection hidden="1"/>
    </xf>
    <xf numFmtId="0" fontId="97" fillId="10" borderId="0" xfId="0" applyFont="1" applyFill="1" applyAlignment="1" applyProtection="1">
      <alignment horizontal="center" vertical="center"/>
      <protection hidden="1"/>
    </xf>
    <xf numFmtId="0" fontId="15" fillId="3" borderId="20" xfId="0" applyFont="1" applyFill="1" applyBorder="1" applyAlignment="1" applyProtection="1">
      <alignment horizontal="center" vertical="center"/>
      <protection hidden="1"/>
    </xf>
    <xf numFmtId="0" fontId="15" fillId="3" borderId="18" xfId="0" applyFont="1" applyFill="1" applyBorder="1" applyAlignment="1" applyProtection="1">
      <alignment horizontal="center" vertical="center"/>
      <protection hidden="1"/>
    </xf>
    <xf numFmtId="0" fontId="15" fillId="3" borderId="19" xfId="0" applyFont="1" applyFill="1" applyBorder="1" applyAlignment="1" applyProtection="1">
      <alignment horizontal="center" vertical="center"/>
      <protection hidden="1"/>
    </xf>
    <xf numFmtId="0" fontId="98" fillId="10" borderId="0" xfId="0" applyFont="1" applyFill="1" applyAlignment="1" applyProtection="1">
      <alignment horizontal="center" vertical="center"/>
      <protection hidden="1"/>
    </xf>
    <xf numFmtId="0" fontId="99" fillId="10" borderId="0" xfId="0" applyFont="1" applyFill="1" applyAlignment="1" applyProtection="1">
      <alignment vertical="center"/>
      <protection hidden="1"/>
    </xf>
    <xf numFmtId="0" fontId="15" fillId="3" borderId="0" xfId="4" applyFont="1" applyFill="1" applyBorder="1" applyProtection="1">
      <alignment horizontal="left" vertical="center" indent="1"/>
      <protection hidden="1"/>
    </xf>
    <xf numFmtId="0" fontId="2" fillId="10" borderId="0" xfId="4" applyFont="1" applyFill="1" applyBorder="1" applyAlignment="1" applyProtection="1">
      <alignment horizontal="center" vertical="center"/>
      <protection hidden="1"/>
    </xf>
    <xf numFmtId="0" fontId="15" fillId="3" borderId="6" xfId="0" applyFont="1" applyFill="1" applyBorder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/>
      <protection hidden="1"/>
    </xf>
    <xf numFmtId="0" fontId="15" fillId="3" borderId="8" xfId="0" applyFont="1" applyFill="1" applyBorder="1" applyAlignment="1" applyProtection="1">
      <alignment horizontal="center" vertical="center"/>
      <protection hidden="1"/>
    </xf>
    <xf numFmtId="0" fontId="0" fillId="3" borderId="264" xfId="5" applyFont="1" applyFill="1" applyBorder="1" applyProtection="1">
      <alignment horizontal="right" vertical="center" indent="1"/>
      <protection hidden="1"/>
    </xf>
    <xf numFmtId="0" fontId="15" fillId="3" borderId="18" xfId="4" applyFont="1" applyFill="1" applyBorder="1" applyProtection="1">
      <alignment horizontal="left" vertical="center" indent="1"/>
      <protection hidden="1"/>
    </xf>
    <xf numFmtId="0" fontId="15" fillId="10" borderId="0" xfId="4" applyFont="1" applyFill="1" applyBorder="1" applyProtection="1">
      <alignment horizontal="left" vertical="center" indent="1"/>
      <protection hidden="1"/>
    </xf>
    <xf numFmtId="0" fontId="98" fillId="10" borderId="0" xfId="4" applyFont="1" applyFill="1" applyBorder="1" applyProtection="1">
      <alignment horizontal="left" vertical="center" indent="1"/>
      <protection hidden="1"/>
    </xf>
    <xf numFmtId="0" fontId="15" fillId="3" borderId="247" xfId="0" applyFont="1" applyFill="1" applyBorder="1" applyAlignment="1" applyProtection="1">
      <alignment horizontal="center" vertical="center"/>
      <protection hidden="1"/>
    </xf>
    <xf numFmtId="0" fontId="15" fillId="3" borderId="254" xfId="4" applyFont="1" applyFill="1" applyBorder="1" applyAlignment="1" applyProtection="1">
      <alignment horizontal="center" vertical="center"/>
      <protection hidden="1"/>
    </xf>
    <xf numFmtId="0" fontId="15" fillId="3" borderId="248" xfId="0" applyFont="1" applyFill="1" applyBorder="1" applyAlignment="1" applyProtection="1">
      <alignment horizontal="center" vertical="center"/>
      <protection hidden="1"/>
    </xf>
    <xf numFmtId="9" fontId="15" fillId="3" borderId="248" xfId="3" applyNumberFormat="1" applyFont="1" applyFill="1" applyBorder="1" applyAlignment="1">
      <alignment horizontal="center" vertical="center"/>
    </xf>
    <xf numFmtId="3" fontId="15" fillId="3" borderId="248" xfId="3" applyNumberFormat="1" applyFont="1" applyFill="1" applyBorder="1" applyAlignment="1">
      <alignment horizontal="center" vertical="center"/>
    </xf>
    <xf numFmtId="0" fontId="15" fillId="3" borderId="258" xfId="4" applyFont="1" applyFill="1" applyBorder="1" applyAlignment="1" applyProtection="1">
      <alignment horizontal="center" vertical="center"/>
      <protection hidden="1"/>
    </xf>
    <xf numFmtId="0" fontId="15" fillId="3" borderId="259" xfId="4" applyFont="1" applyFill="1" applyBorder="1" applyAlignment="1" applyProtection="1">
      <alignment horizontal="center" vertical="center"/>
      <protection hidden="1"/>
    </xf>
    <xf numFmtId="0" fontId="15" fillId="3" borderId="260" xfId="0" applyFont="1" applyFill="1" applyBorder="1" applyAlignment="1" applyProtection="1">
      <alignment horizontal="center" vertical="center"/>
      <protection hidden="1"/>
    </xf>
    <xf numFmtId="18" fontId="15" fillId="3" borderId="258" xfId="4" applyNumberFormat="1" applyFont="1" applyFill="1" applyBorder="1" applyAlignment="1" applyProtection="1">
      <alignment horizontal="center" vertical="center"/>
      <protection hidden="1"/>
    </xf>
    <xf numFmtId="0" fontId="15" fillId="3" borderId="271" xfId="0" applyFont="1" applyFill="1" applyBorder="1" applyAlignment="1" applyProtection="1">
      <alignment horizontal="center" vertical="center"/>
      <protection hidden="1"/>
    </xf>
    <xf numFmtId="0" fontId="15" fillId="3" borderId="279" xfId="0" applyFont="1" applyFill="1" applyBorder="1" applyAlignment="1" applyProtection="1">
      <alignment horizontal="center" vertical="center"/>
      <protection hidden="1"/>
    </xf>
    <xf numFmtId="0" fontId="15" fillId="3" borderId="273" xfId="0" applyFont="1" applyFill="1" applyBorder="1" applyAlignment="1" applyProtection="1">
      <alignment horizontal="center" vertical="center"/>
      <protection hidden="1"/>
    </xf>
    <xf numFmtId="0" fontId="15" fillId="3" borderId="75" xfId="0" applyFont="1" applyFill="1" applyBorder="1" applyAlignment="1" applyProtection="1">
      <alignment horizontal="center" vertical="center"/>
      <protection hidden="1"/>
    </xf>
    <xf numFmtId="0" fontId="99" fillId="10" borderId="0" xfId="5" applyFont="1" applyFill="1" applyBorder="1" applyProtection="1">
      <alignment horizontal="right" vertical="center" indent="1"/>
      <protection hidden="1"/>
    </xf>
    <xf numFmtId="0" fontId="98" fillId="10" borderId="0" xfId="5" applyFont="1" applyFill="1" applyBorder="1" applyProtection="1">
      <alignment horizontal="right" vertical="center" indent="1"/>
      <protection hidden="1"/>
    </xf>
    <xf numFmtId="0" fontId="15" fillId="3" borderId="0" xfId="5" applyFont="1" applyFill="1" applyBorder="1" applyProtection="1">
      <alignment horizontal="right" vertical="center" indent="1"/>
      <protection hidden="1"/>
    </xf>
    <xf numFmtId="0" fontId="15" fillId="3" borderId="18" xfId="5" applyFont="1" applyFill="1" applyBorder="1" applyProtection="1">
      <alignment horizontal="right" vertical="center" indent="1"/>
      <protection hidden="1"/>
    </xf>
    <xf numFmtId="0" fontId="15" fillId="3" borderId="256" xfId="0" applyFont="1" applyFill="1" applyBorder="1" applyAlignment="1" applyProtection="1">
      <alignment horizontal="center" vertical="center"/>
      <protection hidden="1"/>
    </xf>
    <xf numFmtId="9" fontId="15" fillId="3" borderId="255" xfId="3" applyNumberFormat="1" applyFont="1" applyFill="1" applyBorder="1" applyAlignment="1">
      <alignment horizontal="center" vertical="center"/>
    </xf>
    <xf numFmtId="0" fontId="15" fillId="3" borderId="275" xfId="0" applyFont="1" applyFill="1" applyBorder="1" applyAlignment="1" applyProtection="1">
      <alignment horizontal="center" vertical="center"/>
      <protection hidden="1"/>
    </xf>
    <xf numFmtId="0" fontId="13" fillId="3" borderId="256" xfId="5" applyFont="1" applyFill="1" applyBorder="1" applyProtection="1">
      <alignment horizontal="right" vertical="center" indent="1"/>
      <protection hidden="1"/>
    </xf>
    <xf numFmtId="3" fontId="15" fillId="3" borderId="275" xfId="3" applyNumberFormat="1" applyFont="1" applyFill="1" applyBorder="1" applyAlignment="1">
      <alignment horizontal="center" vertical="center"/>
    </xf>
    <xf numFmtId="0" fontId="15" fillId="3" borderId="249" xfId="0" applyFont="1" applyFill="1" applyBorder="1" applyAlignment="1" applyProtection="1">
      <alignment horizontal="center" vertical="center"/>
      <protection hidden="1"/>
    </xf>
    <xf numFmtId="0" fontId="15" fillId="3" borderId="265" xfId="0" applyFont="1" applyFill="1" applyBorder="1" applyAlignment="1" applyProtection="1">
      <alignment horizontal="center" vertical="center"/>
      <protection hidden="1"/>
    </xf>
    <xf numFmtId="0" fontId="15" fillId="3" borderId="246" xfId="0" applyFont="1" applyFill="1" applyBorder="1" applyAlignment="1" applyProtection="1">
      <alignment horizontal="center" vertical="center"/>
      <protection hidden="1"/>
    </xf>
    <xf numFmtId="0" fontId="13" fillId="3" borderId="265" xfId="5" applyFont="1" applyFill="1" applyBorder="1" applyProtection="1">
      <alignment horizontal="right" vertical="center" indent="1"/>
      <protection hidden="1"/>
    </xf>
    <xf numFmtId="0" fontId="15" fillId="3" borderId="262" xfId="0" applyFont="1" applyFill="1" applyBorder="1" applyAlignment="1" applyProtection="1">
      <alignment horizontal="center" vertical="center"/>
      <protection hidden="1"/>
    </xf>
    <xf numFmtId="0" fontId="15" fillId="3" borderId="261" xfId="0" applyFont="1" applyFill="1" applyBorder="1" applyAlignment="1" applyProtection="1">
      <alignment horizontal="center" vertical="center"/>
      <protection hidden="1"/>
    </xf>
    <xf numFmtId="0" fontId="15" fillId="3" borderId="264" xfId="0" applyFont="1" applyFill="1" applyBorder="1" applyAlignment="1" applyProtection="1">
      <alignment horizontal="center" vertical="center"/>
      <protection hidden="1"/>
    </xf>
    <xf numFmtId="0" fontId="15" fillId="3" borderId="265" xfId="5" applyFont="1" applyFill="1" applyBorder="1" applyProtection="1">
      <alignment horizontal="right" vertical="center" indent="1"/>
      <protection hidden="1"/>
    </xf>
    <xf numFmtId="0" fontId="15" fillId="3" borderId="278" xfId="4" applyFont="1" applyFill="1" applyBorder="1" applyAlignment="1" applyProtection="1">
      <alignment horizontal="center" vertical="center"/>
      <protection hidden="1"/>
    </xf>
    <xf numFmtId="0" fontId="13" fillId="3" borderId="137" xfId="5" applyFont="1" applyFill="1" applyBorder="1" applyProtection="1">
      <alignment horizontal="right" vertical="center" indent="1"/>
      <protection hidden="1"/>
    </xf>
    <xf numFmtId="0" fontId="100" fillId="10" borderId="0" xfId="0" applyFont="1" applyFill="1" applyAlignment="1" applyProtection="1">
      <alignment horizontal="center" vertical="center"/>
      <protection hidden="1"/>
    </xf>
    <xf numFmtId="0" fontId="0" fillId="3" borderId="203" xfId="0" applyFill="1" applyBorder="1" applyAlignment="1">
      <alignment horizontal="center" vertical="center"/>
    </xf>
    <xf numFmtId="0" fontId="13" fillId="3" borderId="255" xfId="0" applyFont="1" applyFill="1" applyBorder="1" applyAlignment="1" applyProtection="1">
      <alignment vertical="center"/>
      <protection hidden="1"/>
    </xf>
    <xf numFmtId="0" fontId="13" fillId="3" borderId="275" xfId="0" applyFont="1" applyFill="1" applyBorder="1" applyAlignment="1" applyProtection="1">
      <alignment vertical="center"/>
      <protection hidden="1"/>
    </xf>
    <xf numFmtId="0" fontId="13" fillId="3" borderId="256" xfId="0" applyFont="1" applyFill="1" applyBorder="1" applyAlignment="1" applyProtection="1">
      <alignment vertical="center"/>
      <protection hidden="1"/>
    </xf>
    <xf numFmtId="0" fontId="15" fillId="3" borderId="264" xfId="5" applyFont="1" applyFill="1" applyBorder="1" applyProtection="1">
      <alignment horizontal="right" vertical="center" indent="1"/>
      <protection hidden="1"/>
    </xf>
    <xf numFmtId="0" fontId="15" fillId="3" borderId="360" xfId="0" applyFont="1" applyFill="1" applyBorder="1" applyAlignment="1" applyProtection="1">
      <alignment horizontal="center" vertical="center"/>
      <protection hidden="1"/>
    </xf>
    <xf numFmtId="0" fontId="15" fillId="3" borderId="364" xfId="0" applyFont="1" applyFill="1" applyBorder="1" applyAlignment="1" applyProtection="1">
      <alignment horizontal="center" vertical="center"/>
      <protection hidden="1"/>
    </xf>
    <xf numFmtId="0" fontId="15" fillId="3" borderId="137" xfId="4" applyFont="1" applyFill="1" applyBorder="1" applyAlignment="1" applyProtection="1">
      <alignment vertical="center"/>
      <protection hidden="1"/>
    </xf>
    <xf numFmtId="0" fontId="15" fillId="3" borderId="273" xfId="4" applyFont="1" applyFill="1" applyBorder="1" applyAlignment="1" applyProtection="1">
      <alignment vertical="center"/>
      <protection hidden="1"/>
    </xf>
    <xf numFmtId="0" fontId="15" fillId="3" borderId="75" xfId="4" applyFont="1" applyFill="1" applyBorder="1" applyAlignment="1" applyProtection="1">
      <alignment vertical="center"/>
      <protection hidden="1"/>
    </xf>
    <xf numFmtId="3" fontId="15" fillId="3" borderId="75" xfId="3" applyNumberFormat="1" applyFont="1" applyFill="1" applyBorder="1" applyAlignment="1">
      <alignment horizontal="center" vertical="center"/>
    </xf>
    <xf numFmtId="0" fontId="0" fillId="3" borderId="293" xfId="0" applyFill="1" applyBorder="1" applyAlignment="1" applyProtection="1">
      <alignment vertical="center"/>
      <protection hidden="1"/>
    </xf>
    <xf numFmtId="0" fontId="15" fillId="3" borderId="137" xfId="0" applyFont="1" applyFill="1" applyBorder="1" applyAlignment="1" applyProtection="1">
      <alignment horizontal="center" vertical="center"/>
      <protection hidden="1"/>
    </xf>
    <xf numFmtId="3" fontId="15" fillId="3" borderId="137" xfId="3" applyNumberFormat="1" applyFont="1" applyFill="1" applyBorder="1" applyAlignment="1">
      <alignment horizontal="center" vertical="center"/>
    </xf>
    <xf numFmtId="0" fontId="13" fillId="3" borderId="137" xfId="0" applyFont="1" applyFill="1" applyBorder="1" applyAlignment="1" applyProtection="1">
      <alignment vertical="center"/>
      <protection hidden="1"/>
    </xf>
    <xf numFmtId="0" fontId="15" fillId="3" borderId="75" xfId="5" applyFont="1" applyFill="1" applyBorder="1" applyProtection="1">
      <alignment horizontal="right" vertical="center" indent="1"/>
      <protection hidden="1"/>
    </xf>
    <xf numFmtId="0" fontId="0" fillId="3" borderId="284" xfId="0" applyFill="1" applyBorder="1" applyAlignment="1" applyProtection="1">
      <alignment vertical="center"/>
      <protection hidden="1"/>
    </xf>
    <xf numFmtId="0" fontId="15" fillId="3" borderId="77" xfId="4" applyFont="1" applyFill="1" applyBorder="1" applyAlignment="1" applyProtection="1">
      <alignment vertical="center"/>
      <protection hidden="1"/>
    </xf>
    <xf numFmtId="0" fontId="15" fillId="3" borderId="262" xfId="4" applyFont="1" applyFill="1" applyBorder="1" applyAlignment="1" applyProtection="1">
      <alignment vertical="center"/>
      <protection hidden="1"/>
    </xf>
    <xf numFmtId="3" fontId="15" fillId="3" borderId="264" xfId="3" applyNumberFormat="1" applyFont="1" applyFill="1" applyBorder="1" applyAlignment="1">
      <alignment horizontal="center" vertical="center"/>
    </xf>
    <xf numFmtId="0" fontId="13" fillId="3" borderId="264" xfId="0" applyFont="1" applyFill="1" applyBorder="1" applyAlignment="1" applyProtection="1">
      <alignment vertical="center"/>
      <protection hidden="1"/>
    </xf>
    <xf numFmtId="0" fontId="0" fillId="3" borderId="261" xfId="0" applyFill="1" applyBorder="1" applyAlignment="1" applyProtection="1">
      <alignment vertical="center"/>
      <protection hidden="1"/>
    </xf>
    <xf numFmtId="0" fontId="13" fillId="3" borderId="75" xfId="0" applyFont="1" applyFill="1" applyBorder="1" applyAlignment="1" applyProtection="1">
      <alignment vertical="center"/>
      <protection hidden="1"/>
    </xf>
    <xf numFmtId="0" fontId="13" fillId="3" borderId="75" xfId="5" applyFont="1" applyFill="1" applyBorder="1" applyProtection="1">
      <alignment horizontal="right" vertical="center" indent="1"/>
      <protection hidden="1"/>
    </xf>
    <xf numFmtId="0" fontId="0" fillId="3" borderId="275" xfId="5" applyFont="1" applyFill="1" applyBorder="1" applyProtection="1">
      <alignment horizontal="right" vertical="center" indent="1"/>
      <protection hidden="1"/>
    </xf>
    <xf numFmtId="0" fontId="15" fillId="3" borderId="137" xfId="5" applyFont="1" applyFill="1" applyBorder="1" applyProtection="1">
      <alignment horizontal="right" vertical="center" indent="1"/>
      <protection hidden="1"/>
    </xf>
    <xf numFmtId="0" fontId="0" fillId="3" borderId="265" xfId="5" applyFont="1" applyFill="1" applyBorder="1" applyProtection="1">
      <alignment horizontal="right" vertical="center" indent="1"/>
      <protection hidden="1"/>
    </xf>
    <xf numFmtId="0" fontId="0" fillId="0" borderId="210" xfId="0" applyBorder="1" applyAlignment="1">
      <alignment vertical="center"/>
    </xf>
    <xf numFmtId="0" fontId="15" fillId="3" borderId="264" xfId="4" applyFont="1" applyFill="1" applyBorder="1" applyAlignment="1" applyProtection="1">
      <alignment vertical="center"/>
      <protection hidden="1"/>
    </xf>
    <xf numFmtId="0" fontId="0" fillId="0" borderId="196" xfId="0" applyBorder="1" applyAlignment="1">
      <alignment vertical="center"/>
    </xf>
    <xf numFmtId="0" fontId="103" fillId="10" borderId="0" xfId="0" applyFont="1" applyFill="1" applyAlignment="1" applyProtection="1">
      <alignment horizontal="center" vertical="center"/>
      <protection hidden="1"/>
    </xf>
    <xf numFmtId="0" fontId="15" fillId="3" borderId="79" xfId="4" applyFont="1" applyFill="1" applyBorder="1" applyAlignment="1" applyProtection="1">
      <alignment vertical="center"/>
      <protection hidden="1"/>
    </xf>
    <xf numFmtId="0" fontId="15" fillId="3" borderId="293" xfId="4" applyFont="1" applyFill="1" applyBorder="1" applyAlignment="1" applyProtection="1">
      <alignment vertical="center"/>
      <protection hidden="1"/>
    </xf>
    <xf numFmtId="0" fontId="0" fillId="3" borderId="0" xfId="5" applyFont="1" applyFill="1" applyBorder="1" applyProtection="1">
      <alignment horizontal="right" vertical="center" indent="1"/>
      <protection hidden="1"/>
    </xf>
    <xf numFmtId="0" fontId="15" fillId="3" borderId="359" xfId="0" applyFont="1" applyFill="1" applyBorder="1" applyAlignment="1" applyProtection="1">
      <alignment horizontal="center" vertical="center"/>
      <protection hidden="1"/>
    </xf>
    <xf numFmtId="0" fontId="13" fillId="3" borderId="246" xfId="5" applyFont="1" applyFill="1" applyBorder="1" applyProtection="1">
      <alignment horizontal="right" vertical="center" indent="1"/>
      <protection hidden="1"/>
    </xf>
    <xf numFmtId="0" fontId="13" fillId="3" borderId="347" xfId="5" applyFont="1" applyFill="1" applyBorder="1" applyProtection="1">
      <alignment horizontal="right" vertical="center" indent="1"/>
      <protection hidden="1"/>
    </xf>
    <xf numFmtId="0" fontId="0" fillId="3" borderId="371" xfId="0" applyFill="1" applyBorder="1" applyAlignment="1">
      <alignment horizontal="center" vertical="center"/>
    </xf>
    <xf numFmtId="0" fontId="0" fillId="3" borderId="372" xfId="0" applyFill="1" applyBorder="1" applyAlignment="1">
      <alignment horizontal="center" vertical="center"/>
    </xf>
    <xf numFmtId="164" fontId="8" fillId="3" borderId="248" xfId="0" applyNumberFormat="1" applyFont="1" applyFill="1" applyBorder="1" applyAlignment="1" applyProtection="1">
      <alignment horizontal="center" vertical="center"/>
      <protection hidden="1"/>
    </xf>
    <xf numFmtId="0" fontId="15" fillId="3" borderId="300" xfId="4" applyFont="1" applyFill="1" applyBorder="1" applyAlignment="1" applyProtection="1">
      <alignment vertical="center"/>
      <protection hidden="1"/>
    </xf>
    <xf numFmtId="0" fontId="13" fillId="3" borderId="360" xfId="5" applyFont="1" applyFill="1" applyBorder="1" applyProtection="1">
      <alignment horizontal="right" vertical="center" indent="1"/>
      <protection hidden="1"/>
    </xf>
    <xf numFmtId="0" fontId="15" fillId="3" borderId="360" xfId="5" applyFont="1" applyFill="1" applyBorder="1" applyProtection="1">
      <alignment horizontal="right" vertical="center" indent="1"/>
      <protection hidden="1"/>
    </xf>
    <xf numFmtId="3" fontId="15" fillId="3" borderId="360" xfId="3" applyNumberFormat="1" applyFont="1" applyFill="1" applyBorder="1" applyAlignment="1">
      <alignment horizontal="center" vertical="center"/>
    </xf>
    <xf numFmtId="0" fontId="13" fillId="3" borderId="360" xfId="0" applyFont="1" applyFill="1" applyBorder="1" applyAlignment="1" applyProtection="1">
      <alignment vertical="center"/>
      <protection hidden="1"/>
    </xf>
    <xf numFmtId="0" fontId="0" fillId="3" borderId="360" xfId="5" applyFont="1" applyFill="1" applyBorder="1" applyProtection="1">
      <alignment horizontal="right" vertical="center" indent="1"/>
      <protection hidden="1"/>
    </xf>
    <xf numFmtId="0" fontId="0" fillId="3" borderId="360" xfId="0" applyFill="1" applyBorder="1" applyAlignment="1" applyProtection="1">
      <alignment vertical="center"/>
      <protection hidden="1"/>
    </xf>
    <xf numFmtId="0" fontId="0" fillId="3" borderId="362" xfId="0" applyFill="1" applyBorder="1" applyAlignment="1" applyProtection="1">
      <alignment vertical="center"/>
      <protection hidden="1"/>
    </xf>
    <xf numFmtId="9" fontId="15" fillId="3" borderId="360" xfId="3" applyNumberFormat="1" applyFont="1" applyFill="1" applyBorder="1" applyAlignment="1">
      <alignment horizontal="center" vertical="center"/>
    </xf>
    <xf numFmtId="0" fontId="13" fillId="3" borderId="362" xfId="0" applyFont="1" applyFill="1" applyBorder="1" applyAlignment="1" applyProtection="1">
      <alignment vertical="center"/>
      <protection hidden="1"/>
    </xf>
    <xf numFmtId="0" fontId="0" fillId="3" borderId="375" xfId="0" applyFill="1" applyBorder="1" applyAlignment="1" applyProtection="1">
      <alignment vertical="center"/>
      <protection hidden="1"/>
    </xf>
    <xf numFmtId="0" fontId="13" fillId="3" borderId="375" xfId="5" applyFont="1" applyFill="1" applyBorder="1" applyProtection="1">
      <alignment horizontal="right" vertical="center" indent="1"/>
      <protection hidden="1"/>
    </xf>
    <xf numFmtId="0" fontId="15" fillId="3" borderId="375" xfId="0" applyFont="1" applyFill="1" applyBorder="1" applyAlignment="1" applyProtection="1">
      <alignment horizontal="center" vertical="center"/>
      <protection hidden="1"/>
    </xf>
    <xf numFmtId="0" fontId="15" fillId="3" borderId="375" xfId="5" applyFont="1" applyFill="1" applyBorder="1" applyProtection="1">
      <alignment horizontal="right" vertical="center" indent="1"/>
      <protection hidden="1"/>
    </xf>
    <xf numFmtId="3" fontId="15" fillId="3" borderId="375" xfId="3" applyNumberFormat="1" applyFont="1" applyFill="1" applyBorder="1" applyAlignment="1">
      <alignment horizontal="center" vertical="center"/>
    </xf>
    <xf numFmtId="0" fontId="0" fillId="3" borderId="375" xfId="5" applyFont="1" applyFill="1" applyBorder="1" applyProtection="1">
      <alignment horizontal="right" vertical="center" indent="1"/>
      <protection hidden="1"/>
    </xf>
    <xf numFmtId="0" fontId="0" fillId="3" borderId="380" xfId="0" applyFill="1" applyBorder="1" applyAlignment="1" applyProtection="1">
      <alignment vertical="center"/>
      <protection hidden="1"/>
    </xf>
    <xf numFmtId="0" fontId="15" fillId="3" borderId="348" xfId="4" applyFont="1" applyFill="1" applyBorder="1" applyAlignment="1" applyProtection="1">
      <alignment vertical="center"/>
      <protection hidden="1"/>
    </xf>
    <xf numFmtId="0" fontId="15" fillId="3" borderId="347" xfId="0" applyFont="1" applyFill="1" applyBorder="1" applyAlignment="1" applyProtection="1">
      <alignment horizontal="center" vertical="center"/>
      <protection hidden="1"/>
    </xf>
    <xf numFmtId="0" fontId="15" fillId="3" borderId="368" xfId="0" applyFont="1" applyFill="1" applyBorder="1" applyAlignment="1" applyProtection="1">
      <alignment horizontal="center" vertical="center"/>
      <protection hidden="1"/>
    </xf>
    <xf numFmtId="0" fontId="13" fillId="3" borderId="255" xfId="5" applyFont="1" applyFill="1" applyBorder="1" applyAlignment="1" applyProtection="1">
      <alignment vertical="center"/>
      <protection hidden="1"/>
    </xf>
    <xf numFmtId="0" fontId="15" fillId="10" borderId="24" xfId="0" applyFont="1" applyFill="1" applyBorder="1" applyAlignment="1" applyProtection="1">
      <alignment horizontal="center" vertical="center"/>
      <protection hidden="1"/>
    </xf>
    <xf numFmtId="0" fontId="2" fillId="10" borderId="77" xfId="4" applyFont="1" applyFill="1" applyBorder="1" applyAlignment="1" applyProtection="1">
      <alignment horizontal="center" vertical="center"/>
      <protection hidden="1"/>
    </xf>
    <xf numFmtId="0" fontId="2" fillId="10" borderId="77" xfId="4" applyFont="1" applyFill="1" applyBorder="1" applyProtection="1">
      <alignment horizontal="left" vertical="center" indent="1"/>
      <protection hidden="1"/>
    </xf>
    <xf numFmtId="0" fontId="15" fillId="10" borderId="77" xfId="0" applyFont="1" applyFill="1" applyBorder="1" applyAlignment="1" applyProtection="1">
      <alignment horizontal="center" vertical="center"/>
      <protection hidden="1"/>
    </xf>
    <xf numFmtId="0" fontId="98" fillId="10" borderId="77" xfId="0" applyFont="1" applyFill="1" applyBorder="1" applyAlignment="1" applyProtection="1">
      <alignment horizontal="center" vertical="center"/>
      <protection hidden="1"/>
    </xf>
    <xf numFmtId="0" fontId="100" fillId="10" borderId="77" xfId="0" applyFont="1" applyFill="1" applyBorder="1" applyAlignment="1" applyProtection="1">
      <alignment horizontal="center" vertical="center"/>
      <protection hidden="1"/>
    </xf>
    <xf numFmtId="0" fontId="99" fillId="10" borderId="77" xfId="5" applyFont="1" applyFill="1" applyBorder="1" applyProtection="1">
      <alignment horizontal="right" vertical="center" indent="1"/>
      <protection hidden="1"/>
    </xf>
    <xf numFmtId="0" fontId="98" fillId="10" borderId="77" xfId="5" applyFont="1" applyFill="1" applyBorder="1" applyProtection="1">
      <alignment horizontal="right" vertical="center" indent="1"/>
      <protection hidden="1"/>
    </xf>
    <xf numFmtId="0" fontId="97" fillId="10" borderId="77" xfId="0" applyFont="1" applyFill="1" applyBorder="1" applyAlignment="1" applyProtection="1">
      <alignment horizontal="center" vertical="center"/>
      <protection hidden="1"/>
    </xf>
    <xf numFmtId="0" fontId="103" fillId="10" borderId="77" xfId="0" applyFont="1" applyFill="1" applyBorder="1" applyAlignment="1" applyProtection="1">
      <alignment horizontal="center" vertical="center"/>
      <protection hidden="1"/>
    </xf>
    <xf numFmtId="0" fontId="15" fillId="10" borderId="78" xfId="0" applyFont="1" applyFill="1" applyBorder="1" applyAlignment="1" applyProtection="1">
      <alignment horizontal="center" vertical="center"/>
      <protection hidden="1"/>
    </xf>
    <xf numFmtId="0" fontId="0" fillId="3" borderId="382" xfId="0" applyFill="1" applyBorder="1" applyAlignment="1" applyProtection="1">
      <alignment vertical="center"/>
      <protection hidden="1"/>
    </xf>
    <xf numFmtId="0" fontId="8" fillId="9" borderId="0" xfId="0" applyFont="1" applyFill="1" applyAlignment="1" applyProtection="1">
      <alignment vertical="center"/>
      <protection hidden="1"/>
    </xf>
    <xf numFmtId="0" fontId="15" fillId="3" borderId="4" xfId="0" applyFont="1" applyFill="1" applyBorder="1" applyAlignment="1" applyProtection="1">
      <alignment vertical="center"/>
      <protection hidden="1"/>
    </xf>
    <xf numFmtId="0" fontId="15" fillId="3" borderId="2" xfId="0" applyFont="1" applyFill="1" applyBorder="1" applyAlignment="1" applyProtection="1">
      <alignment vertical="center"/>
      <protection hidden="1"/>
    </xf>
    <xf numFmtId="0" fontId="15" fillId="3" borderId="6" xfId="0" applyFont="1" applyFill="1" applyBorder="1" applyAlignment="1" applyProtection="1">
      <alignment vertical="center"/>
      <protection hidden="1"/>
    </xf>
    <xf numFmtId="0" fontId="15" fillId="3" borderId="7" xfId="0" applyFont="1" applyFill="1" applyBorder="1" applyAlignment="1" applyProtection="1">
      <alignment vertical="center"/>
      <protection hidden="1"/>
    </xf>
    <xf numFmtId="0" fontId="15" fillId="3" borderId="8" xfId="0" applyFont="1" applyFill="1" applyBorder="1" applyAlignment="1" applyProtection="1">
      <alignment vertical="center"/>
      <protection hidden="1"/>
    </xf>
    <xf numFmtId="0" fontId="30" fillId="5" borderId="383" xfId="0" applyFont="1" applyFill="1" applyBorder="1" applyAlignment="1">
      <alignment horizontal="center" vertical="center"/>
    </xf>
    <xf numFmtId="0" fontId="15" fillId="3" borderId="0" xfId="5" applyFont="1" applyFill="1" applyBorder="1" applyAlignment="1" applyProtection="1">
      <alignment horizontal="right" vertical="center" indent="3"/>
      <protection hidden="1"/>
    </xf>
    <xf numFmtId="0" fontId="15" fillId="3" borderId="0" xfId="0" applyFont="1" applyFill="1" applyAlignment="1" applyProtection="1">
      <alignment horizontal="right" vertical="center" indent="3"/>
      <protection hidden="1"/>
    </xf>
    <xf numFmtId="0" fontId="15" fillId="3" borderId="385" xfId="0" applyFont="1" applyFill="1" applyBorder="1" applyAlignment="1" applyProtection="1">
      <alignment vertical="center"/>
      <protection hidden="1"/>
    </xf>
    <xf numFmtId="0" fontId="0" fillId="3" borderId="358" xfId="0" applyFill="1" applyBorder="1" applyAlignment="1" applyProtection="1">
      <alignment horizontal="center" vertical="center"/>
      <protection hidden="1"/>
    </xf>
    <xf numFmtId="0" fontId="0" fillId="3" borderId="210" xfId="0" applyFill="1" applyBorder="1" applyAlignment="1" applyProtection="1">
      <alignment horizontal="center" vertical="center"/>
      <protection hidden="1"/>
    </xf>
    <xf numFmtId="164" fontId="0" fillId="22" borderId="248" xfId="5" applyNumberFormat="1" applyFont="1" applyFill="1" applyBorder="1" applyProtection="1">
      <alignment horizontal="right" vertical="center" indent="1"/>
      <protection hidden="1"/>
    </xf>
    <xf numFmtId="164" fontId="0" fillId="22" borderId="247" xfId="5" applyNumberFormat="1" applyFont="1" applyFill="1" applyBorder="1" applyProtection="1">
      <alignment horizontal="right" vertical="center" indent="1"/>
      <protection hidden="1"/>
    </xf>
    <xf numFmtId="164" fontId="0" fillId="6" borderId="248" xfId="5" applyNumberFormat="1" applyFont="1" applyFill="1" applyBorder="1" applyProtection="1">
      <alignment horizontal="right" vertical="center" indent="1"/>
      <protection locked="0" hidden="1"/>
    </xf>
    <xf numFmtId="164" fontId="0" fillId="6" borderId="247" xfId="5" applyNumberFormat="1" applyFont="1" applyFill="1" applyBorder="1" applyProtection="1">
      <alignment horizontal="right" vertical="center" indent="1"/>
      <protection locked="0" hidden="1"/>
    </xf>
    <xf numFmtId="164" fontId="0" fillId="6" borderId="386" xfId="5" applyNumberFormat="1" applyFont="1" applyFill="1" applyBorder="1" applyProtection="1">
      <alignment horizontal="right" vertical="center" indent="1"/>
      <protection locked="0" hidden="1"/>
    </xf>
    <xf numFmtId="164" fontId="0" fillId="22" borderId="386" xfId="5" applyNumberFormat="1" applyFont="1" applyFill="1" applyBorder="1" applyProtection="1">
      <alignment horizontal="right" vertical="center" indent="1"/>
      <protection hidden="1"/>
    </xf>
    <xf numFmtId="0" fontId="0" fillId="9" borderId="92" xfId="0" applyFill="1" applyBorder="1" applyAlignment="1" applyProtection="1">
      <alignment horizontal="left" vertical="center" indent="1"/>
      <protection hidden="1"/>
    </xf>
    <xf numFmtId="0" fontId="16" fillId="3" borderId="7" xfId="0" applyFont="1" applyFill="1" applyBorder="1" applyAlignment="1" applyProtection="1">
      <alignment vertical="center"/>
      <protection hidden="1"/>
    </xf>
    <xf numFmtId="0" fontId="69" fillId="25" borderId="287" xfId="0" applyFont="1" applyFill="1" applyBorder="1" applyAlignment="1" applyProtection="1">
      <alignment vertical="center"/>
      <protection hidden="1"/>
    </xf>
    <xf numFmtId="0" fontId="69" fillId="25" borderId="288" xfId="0" applyFont="1" applyFill="1" applyBorder="1" applyAlignment="1" applyProtection="1">
      <alignment vertical="center"/>
      <protection hidden="1"/>
    </xf>
    <xf numFmtId="0" fontId="15" fillId="3" borderId="1" xfId="0" applyFont="1" applyFill="1" applyBorder="1" applyAlignment="1" applyProtection="1">
      <alignment vertical="center"/>
      <protection hidden="1"/>
    </xf>
    <xf numFmtId="0" fontId="3" fillId="3" borderId="2" xfId="0" applyFont="1" applyFill="1" applyBorder="1" applyAlignment="1" applyProtection="1">
      <alignment vertical="center"/>
      <protection hidden="1"/>
    </xf>
    <xf numFmtId="0" fontId="15" fillId="3" borderId="3" xfId="0" applyFont="1" applyFill="1" applyBorder="1" applyAlignment="1" applyProtection="1">
      <alignment vertical="center"/>
      <protection hidden="1"/>
    </xf>
    <xf numFmtId="0" fontId="15" fillId="4" borderId="2" xfId="0" applyFont="1" applyFill="1" applyBorder="1" applyAlignment="1" applyProtection="1">
      <alignment vertical="center"/>
      <protection hidden="1"/>
    </xf>
    <xf numFmtId="0" fontId="48" fillId="3" borderId="0" xfId="0" applyFont="1" applyFill="1" applyAlignment="1" applyProtection="1">
      <alignment vertical="center"/>
      <protection hidden="1"/>
    </xf>
    <xf numFmtId="0" fontId="107" fillId="9" borderId="0" xfId="0" applyFont="1" applyFill="1" applyAlignment="1" applyProtection="1">
      <alignment vertical="center"/>
      <protection hidden="1"/>
    </xf>
    <xf numFmtId="0" fontId="10" fillId="3" borderId="0" xfId="0" applyFont="1" applyFill="1" applyAlignment="1" applyProtection="1">
      <alignment horizontal="left" vertical="center" indent="2"/>
      <protection hidden="1"/>
    </xf>
    <xf numFmtId="0" fontId="0" fillId="2" borderId="4" xfId="0" applyFill="1" applyBorder="1" applyAlignment="1" applyProtection="1">
      <alignment vertical="center"/>
      <protection hidden="1"/>
    </xf>
    <xf numFmtId="0" fontId="60" fillId="2" borderId="0" xfId="0" applyFont="1" applyFill="1" applyAlignment="1" applyProtection="1">
      <alignment vertical="center"/>
      <protection hidden="1"/>
    </xf>
    <xf numFmtId="0" fontId="0" fillId="3" borderId="0" xfId="0" quotePrefix="1" applyFill="1" applyAlignment="1" applyProtection="1">
      <alignment horizontal="right" vertical="center" indent="1"/>
      <protection hidden="1"/>
    </xf>
    <xf numFmtId="168" fontId="0" fillId="9" borderId="0" xfId="1" applyNumberFormat="1" applyFont="1" applyFill="1" applyBorder="1" applyAlignment="1" applyProtection="1">
      <alignment horizontal="center" vertical="center"/>
      <protection hidden="1"/>
    </xf>
    <xf numFmtId="170" fontId="0" fillId="3" borderId="0" xfId="0" applyNumberFormat="1" applyFill="1" applyAlignment="1" applyProtection="1">
      <alignment vertical="center"/>
      <protection hidden="1"/>
    </xf>
    <xf numFmtId="0" fontId="52" fillId="3" borderId="0" xfId="0" applyFont="1" applyFill="1" applyAlignment="1" applyProtection="1">
      <alignment horizontal="right" vertical="center"/>
      <protection hidden="1"/>
    </xf>
    <xf numFmtId="0" fontId="52" fillId="3" borderId="0" xfId="0" applyFont="1" applyFill="1" applyAlignment="1" applyProtection="1">
      <alignment vertical="center"/>
      <protection hidden="1"/>
    </xf>
    <xf numFmtId="164" fontId="0" fillId="3" borderId="0" xfId="0" applyNumberFormat="1" applyFill="1" applyAlignment="1" applyProtection="1">
      <alignment vertical="center"/>
      <protection hidden="1"/>
    </xf>
    <xf numFmtId="0" fontId="53" fillId="3" borderId="0" xfId="0" quotePrefix="1" applyFont="1" applyFill="1" applyAlignment="1" applyProtection="1">
      <alignment horizontal="right" vertical="center"/>
      <protection hidden="1"/>
    </xf>
    <xf numFmtId="0" fontId="0" fillId="18" borderId="4" xfId="0" applyFill="1" applyBorder="1" applyAlignment="1" applyProtection="1">
      <alignment vertical="center"/>
      <protection hidden="1"/>
    </xf>
    <xf numFmtId="0" fontId="50" fillId="18" borderId="0" xfId="0" applyFont="1" applyFill="1" applyAlignment="1" applyProtection="1">
      <alignment vertical="center"/>
      <protection hidden="1"/>
    </xf>
    <xf numFmtId="0" fontId="0" fillId="18" borderId="0" xfId="0" applyFill="1" applyAlignment="1" applyProtection="1">
      <alignment vertical="center"/>
      <protection hidden="1"/>
    </xf>
    <xf numFmtId="0" fontId="0" fillId="18" borderId="0" xfId="0" quotePrefix="1" applyFill="1" applyAlignment="1" applyProtection="1">
      <alignment horizontal="right" vertical="center" indent="1"/>
      <protection hidden="1"/>
    </xf>
    <xf numFmtId="164" fontId="0" fillId="3" borderId="0" xfId="0" applyNumberFormat="1" applyFill="1" applyAlignment="1" applyProtection="1">
      <alignment horizontal="center" vertical="center"/>
      <protection hidden="1"/>
    </xf>
    <xf numFmtId="0" fontId="36" fillId="3" borderId="0" xfId="0" applyFont="1" applyFill="1" applyAlignment="1" applyProtection="1">
      <alignment vertical="center"/>
      <protection hidden="1"/>
    </xf>
    <xf numFmtId="0" fontId="38" fillId="9" borderId="0" xfId="0" applyFont="1" applyFill="1" applyAlignment="1" applyProtection="1">
      <alignment horizontal="left" vertical="center" indent="1"/>
      <protection hidden="1"/>
    </xf>
    <xf numFmtId="0" fontId="69" fillId="2" borderId="4" xfId="0" applyFont="1" applyFill="1" applyBorder="1" applyAlignment="1" applyProtection="1">
      <alignment vertical="center"/>
      <protection hidden="1"/>
    </xf>
    <xf numFmtId="0" fontId="69" fillId="2" borderId="0" xfId="0" applyFont="1" applyFill="1" applyAlignment="1" applyProtection="1">
      <alignment vertical="center"/>
      <protection hidden="1"/>
    </xf>
    <xf numFmtId="0" fontId="30" fillId="3" borderId="0" xfId="0" applyFont="1" applyFill="1" applyAlignment="1" applyProtection="1">
      <alignment horizontal="center" vertical="center" wrapText="1"/>
      <protection hidden="1"/>
    </xf>
    <xf numFmtId="0" fontId="37" fillId="3" borderId="0" xfId="0" applyFont="1" applyFill="1" applyAlignment="1" applyProtection="1">
      <alignment horizontal="right" vertical="center"/>
      <protection hidden="1"/>
    </xf>
    <xf numFmtId="0" fontId="37" fillId="3" borderId="0" xfId="0" applyFont="1" applyFill="1" applyAlignment="1" applyProtection="1">
      <alignment horizontal="right"/>
      <protection hidden="1"/>
    </xf>
    <xf numFmtId="0" fontId="2" fillId="10" borderId="4" xfId="0" applyFont="1" applyFill="1" applyBorder="1" applyAlignment="1" applyProtection="1">
      <alignment vertical="center"/>
      <protection hidden="1"/>
    </xf>
    <xf numFmtId="0" fontId="2" fillId="10" borderId="0" xfId="0" applyFont="1" applyFill="1" applyAlignment="1" applyProtection="1">
      <alignment horizontal="center" vertical="center"/>
      <protection hidden="1"/>
    </xf>
    <xf numFmtId="0" fontId="75" fillId="3" borderId="0" xfId="0" applyFont="1" applyFill="1" applyAlignment="1" applyProtection="1">
      <alignment horizontal="right" vertical="center" indent="2"/>
      <protection hidden="1"/>
    </xf>
    <xf numFmtId="0" fontId="8" fillId="3" borderId="7" xfId="3" applyFont="1" applyFill="1" applyBorder="1" applyAlignment="1" applyProtection="1">
      <alignment horizontal="center" vertical="center"/>
      <protection hidden="1"/>
    </xf>
    <xf numFmtId="0" fontId="70" fillId="3" borderId="7" xfId="3" applyFont="1" applyFill="1" applyBorder="1" applyAlignment="1" applyProtection="1">
      <alignment vertical="center"/>
      <protection hidden="1"/>
    </xf>
    <xf numFmtId="0" fontId="8" fillId="3" borderId="7" xfId="3" applyFont="1" applyFill="1" applyBorder="1" applyAlignment="1" applyProtection="1">
      <alignment horizontal="right" vertical="center"/>
      <protection hidden="1"/>
    </xf>
    <xf numFmtId="3" fontId="8" fillId="3" borderId="7" xfId="3" applyNumberFormat="1" applyFont="1" applyFill="1" applyBorder="1" applyAlignment="1" applyProtection="1">
      <alignment vertical="center"/>
      <protection hidden="1"/>
    </xf>
    <xf numFmtId="8" fontId="8" fillId="3" borderId="7" xfId="3" applyNumberFormat="1" applyFont="1" applyFill="1" applyBorder="1" applyAlignment="1" applyProtection="1">
      <alignment vertical="center"/>
      <protection hidden="1"/>
    </xf>
    <xf numFmtId="3" fontId="70" fillId="3" borderId="7" xfId="3" applyNumberFormat="1" applyFont="1" applyFill="1" applyBorder="1" applyAlignment="1" applyProtection="1">
      <alignment horizontal="right" vertical="center"/>
      <protection hidden="1"/>
    </xf>
    <xf numFmtId="0" fontId="4" fillId="9" borderId="2" xfId="0" applyFont="1" applyFill="1" applyBorder="1" applyAlignment="1" applyProtection="1">
      <alignment vertical="center"/>
      <protection hidden="1"/>
    </xf>
    <xf numFmtId="0" fontId="3" fillId="3" borderId="4" xfId="0" applyFont="1" applyFill="1" applyBorder="1" applyAlignment="1" applyProtection="1">
      <alignment horizontal="center" vertical="center"/>
      <protection hidden="1"/>
    </xf>
    <xf numFmtId="0" fontId="15" fillId="9" borderId="395" xfId="0" applyFont="1" applyFill="1" applyBorder="1" applyAlignment="1" applyProtection="1">
      <alignment vertical="center"/>
      <protection hidden="1"/>
    </xf>
    <xf numFmtId="0" fontId="106" fillId="3" borderId="0" xfId="0" applyFont="1" applyFill="1" applyAlignment="1" applyProtection="1">
      <alignment vertical="center"/>
      <protection hidden="1"/>
    </xf>
    <xf numFmtId="0" fontId="78" fillId="3" borderId="4" xfId="0" applyFont="1" applyFill="1" applyBorder="1" applyAlignment="1" applyProtection="1">
      <alignment horizontal="left" vertical="center"/>
      <protection hidden="1"/>
    </xf>
    <xf numFmtId="0" fontId="78" fillId="3" borderId="0" xfId="0" applyFont="1" applyFill="1" applyAlignment="1" applyProtection="1">
      <alignment horizontal="left" vertical="center"/>
      <protection hidden="1"/>
    </xf>
    <xf numFmtId="0" fontId="78" fillId="3" borderId="5" xfId="0" applyFont="1" applyFill="1" applyBorder="1" applyAlignment="1" applyProtection="1">
      <alignment horizontal="left" vertical="center"/>
      <protection hidden="1"/>
    </xf>
    <xf numFmtId="0" fontId="106" fillId="3" borderId="0" xfId="0" applyFont="1" applyFill="1" applyAlignment="1" applyProtection="1">
      <alignment horizontal="left" vertical="center"/>
      <protection hidden="1"/>
    </xf>
    <xf numFmtId="0" fontId="78" fillId="3" borderId="1" xfId="0" applyFont="1" applyFill="1" applyBorder="1" applyAlignment="1" applyProtection="1">
      <alignment horizontal="left" vertical="center"/>
      <protection hidden="1"/>
    </xf>
    <xf numFmtId="0" fontId="106" fillId="3" borderId="21" xfId="0" applyFont="1" applyFill="1" applyBorder="1" applyAlignment="1" applyProtection="1">
      <alignment vertical="center"/>
      <protection hidden="1"/>
    </xf>
    <xf numFmtId="0" fontId="78" fillId="3" borderId="21" xfId="0" applyFont="1" applyFill="1" applyBorder="1" applyAlignment="1" applyProtection="1">
      <alignment horizontal="left" vertical="center"/>
      <protection hidden="1"/>
    </xf>
    <xf numFmtId="0" fontId="106" fillId="3" borderId="391" xfId="0" applyFont="1" applyFill="1" applyBorder="1" applyAlignment="1" applyProtection="1">
      <alignment horizontal="center" vertical="center" wrapText="1"/>
      <protection hidden="1"/>
    </xf>
    <xf numFmtId="0" fontId="106" fillId="3" borderId="392" xfId="0" applyFont="1" applyFill="1" applyBorder="1" applyAlignment="1" applyProtection="1">
      <alignment horizontal="center" vertical="center" wrapText="1"/>
      <protection hidden="1"/>
    </xf>
    <xf numFmtId="0" fontId="106" fillId="3" borderId="108" xfId="0" applyFont="1" applyFill="1" applyBorder="1" applyAlignment="1" applyProtection="1">
      <alignment horizontal="center" vertical="center" wrapText="1"/>
      <protection hidden="1"/>
    </xf>
    <xf numFmtId="175" fontId="106" fillId="3" borderId="390" xfId="0" applyNumberFormat="1" applyFont="1" applyFill="1" applyBorder="1" applyAlignment="1" applyProtection="1">
      <alignment horizontal="center" vertical="center"/>
      <protection hidden="1"/>
    </xf>
    <xf numFmtId="175" fontId="106" fillId="3" borderId="394" xfId="0" applyNumberFormat="1" applyFont="1" applyFill="1" applyBorder="1" applyAlignment="1" applyProtection="1">
      <alignment horizontal="center" vertical="center"/>
      <protection hidden="1"/>
    </xf>
    <xf numFmtId="166" fontId="106" fillId="3" borderId="22" xfId="0" applyNumberFormat="1" applyFont="1" applyFill="1" applyBorder="1" applyAlignment="1" applyProtection="1">
      <alignment horizontal="center" vertical="center"/>
      <protection hidden="1"/>
    </xf>
    <xf numFmtId="175" fontId="106" fillId="3" borderId="389" xfId="0" applyNumberFormat="1" applyFont="1" applyFill="1" applyBorder="1" applyAlignment="1" applyProtection="1">
      <alignment horizontal="center" vertical="center"/>
      <protection hidden="1"/>
    </xf>
    <xf numFmtId="175" fontId="106" fillId="3" borderId="396" xfId="0" applyNumberFormat="1" applyFont="1" applyFill="1" applyBorder="1" applyAlignment="1" applyProtection="1">
      <alignment horizontal="center" vertical="center"/>
      <protection hidden="1"/>
    </xf>
    <xf numFmtId="166" fontId="106" fillId="3" borderId="393" xfId="0" applyNumberFormat="1" applyFont="1" applyFill="1" applyBorder="1" applyAlignment="1" applyProtection="1">
      <alignment horizontal="center" vertical="center"/>
      <protection hidden="1"/>
    </xf>
    <xf numFmtId="175" fontId="106" fillId="3" borderId="390" xfId="0" quotePrefix="1" applyNumberFormat="1" applyFont="1" applyFill="1" applyBorder="1" applyAlignment="1" applyProtection="1">
      <alignment horizontal="center" vertical="center"/>
      <protection hidden="1"/>
    </xf>
    <xf numFmtId="175" fontId="106" fillId="3" borderId="22" xfId="0" quotePrefix="1" applyNumberFormat="1" applyFont="1" applyFill="1" applyBorder="1" applyAlignment="1" applyProtection="1">
      <alignment horizontal="center" vertical="center"/>
      <protection hidden="1"/>
    </xf>
    <xf numFmtId="175" fontId="106" fillId="3" borderId="110" xfId="0" quotePrefix="1" applyNumberFormat="1" applyFont="1" applyFill="1" applyBorder="1" applyAlignment="1" applyProtection="1">
      <alignment horizontal="center" vertical="center"/>
      <protection hidden="1"/>
    </xf>
    <xf numFmtId="0" fontId="78" fillId="3" borderId="0" xfId="5" applyFont="1" applyFill="1" applyBorder="1" applyAlignment="1" applyProtection="1">
      <alignment horizontal="left" vertical="center"/>
      <protection hidden="1"/>
    </xf>
    <xf numFmtId="0" fontId="110" fillId="3" borderId="0" xfId="0" applyFont="1" applyFill="1" applyAlignment="1" applyProtection="1">
      <alignment vertical="center"/>
      <protection hidden="1"/>
    </xf>
    <xf numFmtId="164" fontId="106" fillId="3" borderId="229" xfId="0" quotePrefix="1" applyNumberFormat="1" applyFont="1" applyFill="1" applyBorder="1" applyAlignment="1" applyProtection="1">
      <alignment horizontal="center" vertical="center"/>
      <protection hidden="1"/>
    </xf>
    <xf numFmtId="0" fontId="106" fillId="3" borderId="0" xfId="0" applyFont="1" applyFill="1" applyAlignment="1" applyProtection="1">
      <alignment horizontal="center" vertical="center"/>
      <protection hidden="1"/>
    </xf>
    <xf numFmtId="0" fontId="78" fillId="3" borderId="2" xfId="0" applyFont="1" applyFill="1" applyBorder="1" applyAlignment="1" applyProtection="1">
      <alignment horizontal="left" vertical="center"/>
      <protection hidden="1"/>
    </xf>
    <xf numFmtId="0" fontId="78" fillId="3" borderId="3" xfId="0" applyFont="1" applyFill="1" applyBorder="1" applyAlignment="1" applyProtection="1">
      <alignment horizontal="left" vertical="center"/>
      <protection hidden="1"/>
    </xf>
    <xf numFmtId="0" fontId="106" fillId="3" borderId="100" xfId="0" applyFont="1" applyFill="1" applyBorder="1" applyAlignment="1" applyProtection="1">
      <alignment horizontal="left" vertical="center"/>
      <protection hidden="1"/>
    </xf>
    <xf numFmtId="0" fontId="78" fillId="3" borderId="100" xfId="0" applyFont="1" applyFill="1" applyBorder="1" applyAlignment="1" applyProtection="1">
      <alignment horizontal="left" vertical="center"/>
      <protection hidden="1"/>
    </xf>
    <xf numFmtId="0" fontId="78" fillId="3" borderId="0" xfId="0" applyFont="1" applyFill="1" applyAlignment="1" applyProtection="1">
      <alignment horizontal="center" vertical="center"/>
      <protection hidden="1"/>
    </xf>
    <xf numFmtId="0" fontId="78" fillId="3" borderId="0" xfId="0" applyFont="1" applyFill="1" applyAlignment="1" applyProtection="1">
      <alignment vertical="center"/>
      <protection hidden="1"/>
    </xf>
    <xf numFmtId="0" fontId="78" fillId="3" borderId="253" xfId="0" applyFont="1" applyFill="1" applyBorder="1" applyAlignment="1" applyProtection="1">
      <alignment horizontal="left" vertical="center"/>
      <protection hidden="1"/>
    </xf>
    <xf numFmtId="0" fontId="78" fillId="3" borderId="0" xfId="5" applyFont="1" applyFill="1" applyBorder="1" applyAlignment="1" applyProtection="1">
      <alignment vertical="center"/>
      <protection hidden="1"/>
    </xf>
    <xf numFmtId="0" fontId="109" fillId="3" borderId="0" xfId="5" applyFont="1" applyFill="1" applyBorder="1" applyAlignment="1" applyProtection="1">
      <alignment vertical="center"/>
      <protection hidden="1"/>
    </xf>
    <xf numFmtId="0" fontId="78" fillId="3" borderId="18" xfId="5" applyFont="1" applyFill="1" applyBorder="1" applyAlignment="1" applyProtection="1">
      <alignment horizontal="left" vertical="center"/>
      <protection hidden="1"/>
    </xf>
    <xf numFmtId="0" fontId="78" fillId="3" borderId="18" xfId="0" applyFont="1" applyFill="1" applyBorder="1" applyAlignment="1" applyProtection="1">
      <alignment horizontal="left" vertical="center"/>
      <protection hidden="1"/>
    </xf>
    <xf numFmtId="0" fontId="78" fillId="3" borderId="252" xfId="0" applyFont="1" applyFill="1" applyBorder="1" applyAlignment="1" applyProtection="1">
      <alignment horizontal="left" vertical="center"/>
      <protection hidden="1"/>
    </xf>
    <xf numFmtId="0" fontId="78" fillId="3" borderId="0" xfId="5" applyFont="1" applyFill="1" applyBorder="1" applyAlignment="1" applyProtection="1">
      <protection hidden="1"/>
    </xf>
    <xf numFmtId="0" fontId="109" fillId="3" borderId="253" xfId="5" applyFont="1" applyFill="1" applyBorder="1" applyAlignment="1" applyProtection="1">
      <alignment vertical="center"/>
      <protection hidden="1"/>
    </xf>
    <xf numFmtId="0" fontId="78" fillId="3" borderId="0" xfId="5" applyFont="1" applyFill="1" applyBorder="1" applyProtection="1">
      <alignment horizontal="right" vertical="center" indent="1"/>
      <protection hidden="1"/>
    </xf>
    <xf numFmtId="0" fontId="109" fillId="3" borderId="0" xfId="5" applyFont="1" applyFill="1" applyBorder="1" applyProtection="1">
      <alignment horizontal="right" vertical="center" indent="1"/>
      <protection hidden="1"/>
    </xf>
    <xf numFmtId="165" fontId="106" fillId="10" borderId="391" xfId="0" applyNumberFormat="1" applyFont="1" applyFill="1" applyBorder="1" applyAlignment="1" applyProtection="1">
      <alignment horizontal="center" vertical="center"/>
      <protection hidden="1"/>
    </xf>
    <xf numFmtId="165" fontId="106" fillId="10" borderId="397" xfId="0" applyNumberFormat="1" applyFont="1" applyFill="1" applyBorder="1" applyAlignment="1" applyProtection="1">
      <alignment horizontal="center" vertical="center"/>
      <protection hidden="1"/>
    </xf>
    <xf numFmtId="166" fontId="106" fillId="10" borderId="398" xfId="0" applyNumberFormat="1" applyFont="1" applyFill="1" applyBorder="1" applyAlignment="1" applyProtection="1">
      <alignment horizontal="center" vertical="center"/>
      <protection hidden="1"/>
    </xf>
    <xf numFmtId="165" fontId="106" fillId="10" borderId="392" xfId="0" applyNumberFormat="1" applyFont="1" applyFill="1" applyBorder="1" applyAlignment="1" applyProtection="1">
      <alignment horizontal="center" vertical="center"/>
      <protection hidden="1"/>
    </xf>
    <xf numFmtId="166" fontId="106" fillId="10" borderId="108" xfId="0" applyNumberFormat="1" applyFont="1" applyFill="1" applyBorder="1" applyAlignment="1" applyProtection="1">
      <alignment horizontal="center" vertical="center"/>
      <protection hidden="1"/>
    </xf>
    <xf numFmtId="0" fontId="48" fillId="3" borderId="0" xfId="0" applyFont="1" applyFill="1" applyAlignment="1" applyProtection="1">
      <alignment horizontal="left" vertical="center"/>
      <protection hidden="1"/>
    </xf>
    <xf numFmtId="0" fontId="111" fillId="3" borderId="0" xfId="5" applyFont="1" applyFill="1" applyBorder="1" applyAlignment="1" applyProtection="1">
      <alignment horizontal="left"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78" fillId="3" borderId="0" xfId="0" applyFont="1" applyFill="1" applyAlignment="1" applyProtection="1">
      <alignment vertical="top" wrapText="1"/>
      <protection hidden="1"/>
    </xf>
    <xf numFmtId="0" fontId="78" fillId="3" borderId="0" xfId="0" applyFont="1" applyFill="1" applyAlignment="1" applyProtection="1">
      <alignment horizontal="right" vertical="top" wrapText="1"/>
      <protection hidden="1"/>
    </xf>
    <xf numFmtId="0" fontId="112" fillId="3" borderId="0" xfId="0" applyFont="1" applyFill="1" applyAlignment="1" applyProtection="1">
      <alignment vertical="top"/>
      <protection hidden="1"/>
    </xf>
    <xf numFmtId="0" fontId="112" fillId="3" borderId="0" xfId="0" applyFont="1" applyFill="1" applyAlignment="1" applyProtection="1">
      <alignment horizontal="right" vertical="top"/>
      <protection hidden="1"/>
    </xf>
    <xf numFmtId="0" fontId="78" fillId="3" borderId="0" xfId="0" applyFont="1" applyFill="1" applyAlignment="1" applyProtection="1">
      <alignment horizontal="right" vertical="center"/>
      <protection hidden="1"/>
    </xf>
    <xf numFmtId="0" fontId="78" fillId="3" borderId="18" xfId="0" applyFont="1" applyFill="1" applyBorder="1" applyAlignment="1" applyProtection="1">
      <alignment vertical="center"/>
      <protection hidden="1"/>
    </xf>
    <xf numFmtId="0" fontId="78" fillId="13" borderId="211" xfId="0" applyFont="1" applyFill="1" applyBorder="1" applyAlignment="1" applyProtection="1">
      <alignment horizontal="left" vertical="center" indent="1"/>
      <protection hidden="1"/>
    </xf>
    <xf numFmtId="0" fontId="78" fillId="13" borderId="195" xfId="0" applyFont="1" applyFill="1" applyBorder="1" applyAlignment="1" applyProtection="1">
      <alignment vertical="center"/>
      <protection hidden="1"/>
    </xf>
    <xf numFmtId="0" fontId="78" fillId="13" borderId="214" xfId="0" applyFont="1" applyFill="1" applyBorder="1" applyAlignment="1" applyProtection="1">
      <alignment vertical="center"/>
      <protection hidden="1"/>
    </xf>
    <xf numFmtId="0" fontId="78" fillId="3" borderId="18" xfId="0" applyFont="1" applyFill="1" applyBorder="1" applyAlignment="1" applyProtection="1">
      <alignment horizontal="center" vertical="center"/>
      <protection hidden="1"/>
    </xf>
    <xf numFmtId="0" fontId="78" fillId="10" borderId="211" xfId="0" applyFont="1" applyFill="1" applyBorder="1" applyAlignment="1" applyProtection="1">
      <alignment horizontal="left" vertical="center" indent="1"/>
      <protection hidden="1"/>
    </xf>
    <xf numFmtId="0" fontId="78" fillId="10" borderId="210" xfId="0" applyFont="1" applyFill="1" applyBorder="1" applyAlignment="1" applyProtection="1">
      <alignment vertical="center"/>
      <protection hidden="1"/>
    </xf>
    <xf numFmtId="0" fontId="78" fillId="10" borderId="215" xfId="0" applyFont="1" applyFill="1" applyBorder="1" applyAlignment="1" applyProtection="1">
      <alignment vertical="center"/>
      <protection hidden="1"/>
    </xf>
    <xf numFmtId="0" fontId="78" fillId="13" borderId="217" xfId="0" applyFont="1" applyFill="1" applyBorder="1" applyAlignment="1" applyProtection="1">
      <alignment horizontal="center" vertical="center"/>
      <protection hidden="1"/>
    </xf>
    <xf numFmtId="0" fontId="78" fillId="9" borderId="211" xfId="0" applyFont="1" applyFill="1" applyBorder="1" applyAlignment="1" applyProtection="1">
      <alignment horizontal="left" vertical="center"/>
      <protection hidden="1"/>
    </xf>
    <xf numFmtId="0" fontId="78" fillId="9" borderId="210" xfId="0" applyFont="1" applyFill="1" applyBorder="1" applyAlignment="1" applyProtection="1">
      <alignment horizontal="center" vertical="center"/>
      <protection hidden="1"/>
    </xf>
    <xf numFmtId="0" fontId="78" fillId="9" borderId="215" xfId="0" applyFont="1" applyFill="1" applyBorder="1" applyAlignment="1" applyProtection="1">
      <alignment vertical="center"/>
      <protection hidden="1"/>
    </xf>
    <xf numFmtId="0" fontId="78" fillId="10" borderId="217" xfId="0" applyFont="1" applyFill="1" applyBorder="1" applyAlignment="1" applyProtection="1">
      <alignment horizontal="right" vertical="center"/>
      <protection hidden="1"/>
    </xf>
    <xf numFmtId="0" fontId="109" fillId="3" borderId="18" xfId="0" applyFont="1" applyFill="1" applyBorder="1" applyAlignment="1" applyProtection="1">
      <alignment horizontal="left" vertical="top" wrapText="1" indent="1"/>
      <protection hidden="1"/>
    </xf>
    <xf numFmtId="0" fontId="78" fillId="3" borderId="211" xfId="0" applyFont="1" applyFill="1" applyBorder="1" applyAlignment="1" applyProtection="1">
      <alignment horizontal="center" vertical="center"/>
      <protection hidden="1"/>
    </xf>
    <xf numFmtId="0" fontId="78" fillId="9" borderId="212" xfId="0" applyFont="1" applyFill="1" applyBorder="1" applyAlignment="1" applyProtection="1">
      <alignment vertical="center"/>
      <protection hidden="1"/>
    </xf>
    <xf numFmtId="0" fontId="78" fillId="10" borderId="212" xfId="0" applyFont="1" applyFill="1" applyBorder="1" applyAlignment="1" applyProtection="1">
      <alignment horizontal="right" vertical="center"/>
      <protection hidden="1"/>
    </xf>
    <xf numFmtId="0" fontId="78" fillId="13" borderId="212" xfId="0" applyFont="1" applyFill="1" applyBorder="1" applyAlignment="1" applyProtection="1">
      <alignment horizontal="center" vertical="center"/>
      <protection hidden="1"/>
    </xf>
    <xf numFmtId="0" fontId="78" fillId="3" borderId="18" xfId="0" applyFont="1" applyFill="1" applyBorder="1" applyAlignment="1" applyProtection="1">
      <alignment vertical="top" wrapText="1"/>
      <protection hidden="1"/>
    </xf>
    <xf numFmtId="0" fontId="114" fillId="3" borderId="0" xfId="0" applyFont="1" applyFill="1" applyAlignment="1" applyProtection="1">
      <alignment horizontal="left" vertical="center"/>
      <protection hidden="1"/>
    </xf>
    <xf numFmtId="0" fontId="70" fillId="3" borderId="0" xfId="0" applyFont="1" applyFill="1" applyAlignment="1" applyProtection="1">
      <alignment horizontal="right" vertical="center"/>
      <protection hidden="1"/>
    </xf>
    <xf numFmtId="0" fontId="116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 wrapText="1"/>
      <protection hidden="1"/>
    </xf>
    <xf numFmtId="0" fontId="23" fillId="3" borderId="0" xfId="0" applyFont="1" applyFill="1" applyAlignment="1" applyProtection="1">
      <alignment horizontal="center" vertical="center"/>
      <protection hidden="1"/>
    </xf>
    <xf numFmtId="0" fontId="37" fillId="3" borderId="229" xfId="0" applyFont="1" applyFill="1" applyBorder="1" applyAlignment="1" applyProtection="1">
      <alignment horizontal="left" vertical="center"/>
      <protection hidden="1"/>
    </xf>
    <xf numFmtId="0" fontId="0" fillId="3" borderId="229" xfId="0" applyFill="1" applyBorder="1" applyAlignment="1" applyProtection="1">
      <alignment vertical="center"/>
      <protection hidden="1"/>
    </xf>
    <xf numFmtId="175" fontId="106" fillId="9" borderId="212" xfId="0" applyNumberFormat="1" applyFont="1" applyFill="1" applyBorder="1" applyAlignment="1" applyProtection="1">
      <alignment horizontal="center" vertical="center"/>
      <protection hidden="1"/>
    </xf>
    <xf numFmtId="175" fontId="106" fillId="10" borderId="212" xfId="0" applyNumberFormat="1" applyFont="1" applyFill="1" applyBorder="1" applyAlignment="1" applyProtection="1">
      <alignment horizontal="center" vertical="center"/>
      <protection hidden="1"/>
    </xf>
    <xf numFmtId="175" fontId="106" fillId="13" borderId="212" xfId="0" applyNumberFormat="1" applyFont="1" applyFill="1" applyBorder="1" applyAlignment="1" applyProtection="1">
      <alignment horizontal="center" vertical="center"/>
      <protection hidden="1"/>
    </xf>
    <xf numFmtId="175" fontId="106" fillId="9" borderId="210" xfId="0" applyNumberFormat="1" applyFont="1" applyFill="1" applyBorder="1" applyAlignment="1" applyProtection="1">
      <alignment horizontal="center" vertical="center"/>
      <protection hidden="1"/>
    </xf>
    <xf numFmtId="175" fontId="106" fillId="10" borderId="210" xfId="0" applyNumberFormat="1" applyFont="1" applyFill="1" applyBorder="1" applyAlignment="1" applyProtection="1">
      <alignment horizontal="center" vertical="center"/>
      <protection hidden="1"/>
    </xf>
    <xf numFmtId="175" fontId="106" fillId="13" borderId="210" xfId="0" applyNumberFormat="1" applyFont="1" applyFill="1" applyBorder="1" applyAlignment="1" applyProtection="1">
      <alignment horizontal="center" vertical="center"/>
      <protection hidden="1"/>
    </xf>
    <xf numFmtId="0" fontId="109" fillId="3" borderId="0" xfId="5" applyFont="1" applyFill="1" applyBorder="1" applyAlignment="1" applyProtection="1">
      <alignment horizontal="left" vertical="center" wrapText="1"/>
      <protection hidden="1"/>
    </xf>
    <xf numFmtId="0" fontId="8" fillId="3" borderId="9" xfId="3" applyFont="1" applyFill="1" applyBorder="1" applyAlignment="1" applyProtection="1">
      <alignment horizontal="center" vertical="center"/>
      <protection hidden="1"/>
    </xf>
    <xf numFmtId="0" fontId="70" fillId="3" borderId="9" xfId="3" applyFont="1" applyFill="1" applyBorder="1" applyAlignment="1" applyProtection="1">
      <alignment vertical="center"/>
      <protection hidden="1"/>
    </xf>
    <xf numFmtId="0" fontId="8" fillId="3" borderId="9" xfId="3" applyFont="1" applyFill="1" applyBorder="1" applyAlignment="1" applyProtection="1">
      <alignment horizontal="right" vertical="center"/>
      <protection hidden="1"/>
    </xf>
    <xf numFmtId="3" fontId="8" fillId="3" borderId="9" xfId="3" applyNumberFormat="1" applyFont="1" applyFill="1" applyBorder="1" applyAlignment="1" applyProtection="1">
      <alignment vertical="center"/>
      <protection hidden="1"/>
    </xf>
    <xf numFmtId="8" fontId="8" fillId="3" borderId="9" xfId="3" applyNumberFormat="1" applyFont="1" applyFill="1" applyBorder="1" applyAlignment="1" applyProtection="1">
      <alignment vertical="center"/>
      <protection hidden="1"/>
    </xf>
    <xf numFmtId="3" fontId="70" fillId="3" borderId="9" xfId="3" applyNumberFormat="1" applyFont="1" applyFill="1" applyBorder="1" applyAlignment="1" applyProtection="1">
      <alignment horizontal="right" vertical="center"/>
      <protection hidden="1"/>
    </xf>
    <xf numFmtId="0" fontId="2" fillId="4" borderId="287" xfId="0" applyFont="1" applyFill="1" applyBorder="1" applyAlignment="1" applyProtection="1">
      <alignment vertical="center"/>
      <protection hidden="1"/>
    </xf>
    <xf numFmtId="0" fontId="2" fillId="4" borderId="9" xfId="4" applyFont="1" applyFill="1" applyBorder="1" applyProtection="1">
      <alignment horizontal="left" vertical="center" indent="1"/>
      <protection hidden="1"/>
    </xf>
    <xf numFmtId="0" fontId="2" fillId="4" borderId="9" xfId="0" applyFont="1" applyFill="1" applyBorder="1" applyAlignment="1" applyProtection="1">
      <alignment vertical="center"/>
      <protection hidden="1"/>
    </xf>
    <xf numFmtId="0" fontId="2" fillId="4" borderId="288" xfId="0" applyFont="1" applyFill="1" applyBorder="1" applyAlignment="1" applyProtection="1">
      <alignment vertical="center"/>
      <protection hidden="1"/>
    </xf>
    <xf numFmtId="0" fontId="0" fillId="3" borderId="244" xfId="0" applyFill="1" applyBorder="1" applyAlignment="1" applyProtection="1">
      <alignment vertical="center"/>
      <protection hidden="1"/>
    </xf>
    <xf numFmtId="0" fontId="8" fillId="3" borderId="194" xfId="3" applyFont="1" applyFill="1" applyBorder="1" applyAlignment="1" applyProtection="1">
      <alignment horizontal="center" vertical="center"/>
      <protection hidden="1"/>
    </xf>
    <xf numFmtId="0" fontId="70" fillId="3" borderId="194" xfId="3" applyFont="1" applyFill="1" applyBorder="1" applyAlignment="1" applyProtection="1">
      <alignment vertical="center"/>
      <protection hidden="1"/>
    </xf>
    <xf numFmtId="0" fontId="8" fillId="3" borderId="194" xfId="3" applyFont="1" applyFill="1" applyBorder="1" applyAlignment="1" applyProtection="1">
      <alignment horizontal="right" vertical="center"/>
      <protection hidden="1"/>
    </xf>
    <xf numFmtId="3" fontId="8" fillId="3" borderId="194" xfId="3" applyNumberFormat="1" applyFont="1" applyFill="1" applyBorder="1" applyAlignment="1" applyProtection="1">
      <alignment vertical="center"/>
      <protection hidden="1"/>
    </xf>
    <xf numFmtId="8" fontId="8" fillId="3" borderId="194" xfId="3" applyNumberFormat="1" applyFont="1" applyFill="1" applyBorder="1" applyAlignment="1" applyProtection="1">
      <alignment vertical="center"/>
      <protection hidden="1"/>
    </xf>
    <xf numFmtId="3" fontId="70" fillId="3" borderId="194" xfId="3" applyNumberFormat="1" applyFont="1" applyFill="1" applyBorder="1" applyAlignment="1" applyProtection="1">
      <alignment horizontal="right" vertical="center"/>
      <protection hidden="1"/>
    </xf>
    <xf numFmtId="0" fontId="0" fillId="3" borderId="245" xfId="0" applyFill="1" applyBorder="1" applyAlignment="1" applyProtection="1">
      <alignment vertical="center"/>
      <protection hidden="1"/>
    </xf>
    <xf numFmtId="0" fontId="15" fillId="0" borderId="358" xfId="3" applyFont="1" applyBorder="1" applyAlignment="1" applyProtection="1">
      <alignment horizontal="center" vertical="center"/>
      <protection hidden="1"/>
    </xf>
    <xf numFmtId="9" fontId="15" fillId="3" borderId="265" xfId="5" quotePrefix="1" applyNumberFormat="1" applyFont="1" applyFill="1" applyBorder="1" applyProtection="1">
      <alignment horizontal="right" vertical="center" indent="1"/>
      <protection hidden="1"/>
    </xf>
    <xf numFmtId="9" fontId="15" fillId="3" borderId="265" xfId="5" applyNumberFormat="1" applyFont="1" applyFill="1" applyBorder="1" applyProtection="1">
      <alignment horizontal="right" vertical="center" indent="1"/>
      <protection hidden="1"/>
    </xf>
    <xf numFmtId="3" fontId="15" fillId="3" borderId="265" xfId="4" applyNumberFormat="1" applyFont="1" applyFill="1" applyBorder="1" applyProtection="1">
      <alignment horizontal="left" vertical="center" indent="1"/>
      <protection hidden="1"/>
    </xf>
    <xf numFmtId="3" fontId="80" fillId="3" borderId="246" xfId="5" applyNumberFormat="1" applyFont="1" applyFill="1" applyBorder="1" applyProtection="1">
      <alignment horizontal="right" vertical="center" indent="1"/>
      <protection hidden="1"/>
    </xf>
    <xf numFmtId="0" fontId="27" fillId="3" borderId="77" xfId="0" applyFont="1" applyFill="1" applyBorder="1" applyAlignment="1" applyProtection="1">
      <alignment wrapText="1"/>
      <protection hidden="1"/>
    </xf>
    <xf numFmtId="0" fontId="27" fillId="3" borderId="0" xfId="0" applyFont="1" applyFill="1" applyAlignment="1" applyProtection="1">
      <alignment wrapText="1"/>
      <protection hidden="1"/>
    </xf>
    <xf numFmtId="0" fontId="0" fillId="3" borderId="0" xfId="0" applyFill="1" applyAlignment="1" applyProtection="1">
      <alignment vertical="center" wrapText="1"/>
      <protection hidden="1"/>
    </xf>
    <xf numFmtId="0" fontId="0" fillId="3" borderId="253" xfId="0" applyFill="1" applyBorder="1" applyAlignment="1" applyProtection="1">
      <alignment vertical="center"/>
      <protection hidden="1"/>
    </xf>
    <xf numFmtId="0" fontId="106" fillId="3" borderId="253" xfId="0" applyFont="1" applyFill="1" applyBorder="1" applyAlignment="1" applyProtection="1">
      <alignment vertical="center"/>
      <protection hidden="1"/>
    </xf>
    <xf numFmtId="0" fontId="86" fillId="3" borderId="0" xfId="5" applyFont="1" applyFill="1" applyBorder="1" applyAlignment="1" applyProtection="1">
      <alignment vertical="center" wrapText="1"/>
      <protection hidden="1"/>
    </xf>
    <xf numFmtId="6" fontId="109" fillId="3" borderId="0" xfId="5" applyNumberFormat="1" applyFont="1" applyFill="1" applyBorder="1" applyAlignment="1" applyProtection="1">
      <alignment horizontal="center" vertical="center"/>
      <protection hidden="1"/>
    </xf>
    <xf numFmtId="0" fontId="109" fillId="3" borderId="0" xfId="5" applyFont="1" applyFill="1" applyBorder="1" applyAlignment="1" applyProtection="1">
      <alignment horizontal="center" vertical="center"/>
      <protection hidden="1"/>
    </xf>
    <xf numFmtId="0" fontId="109" fillId="3" borderId="0" xfId="0" applyFont="1" applyFill="1" applyAlignment="1" applyProtection="1">
      <alignment horizontal="center" vertical="center"/>
      <protection hidden="1"/>
    </xf>
    <xf numFmtId="0" fontId="109" fillId="3" borderId="18" xfId="5" applyFont="1" applyFill="1" applyBorder="1" applyAlignment="1" applyProtection="1">
      <alignment horizontal="left" vertical="center" wrapText="1"/>
      <protection hidden="1"/>
    </xf>
    <xf numFmtId="6" fontId="109" fillId="3" borderId="18" xfId="5" applyNumberFormat="1" applyFont="1" applyFill="1" applyBorder="1" applyAlignment="1" applyProtection="1">
      <alignment horizontal="center" vertical="center"/>
      <protection hidden="1"/>
    </xf>
    <xf numFmtId="0" fontId="109" fillId="3" borderId="18" xfId="5" applyFont="1" applyFill="1" applyBorder="1" applyAlignment="1" applyProtection="1">
      <alignment horizontal="center" vertical="center"/>
      <protection hidden="1"/>
    </xf>
    <xf numFmtId="6" fontId="109" fillId="3" borderId="18" xfId="0" applyNumberFormat="1" applyFont="1" applyFill="1" applyBorder="1" applyAlignment="1" applyProtection="1">
      <alignment horizontal="center" vertical="center"/>
      <protection hidden="1"/>
    </xf>
    <xf numFmtId="0" fontId="109" fillId="3" borderId="18" xfId="0" applyFont="1" applyFill="1" applyBorder="1" applyAlignment="1" applyProtection="1">
      <alignment horizontal="center" vertical="center"/>
      <protection hidden="1"/>
    </xf>
    <xf numFmtId="6" fontId="15" fillId="3" borderId="7" xfId="5" applyNumberFormat="1" applyFont="1" applyFill="1" applyBorder="1" applyAlignment="1" applyProtection="1">
      <alignment horizontal="right" vertical="center" wrapText="1" indent="1"/>
      <protection hidden="1"/>
    </xf>
    <xf numFmtId="0" fontId="15" fillId="3" borderId="0" xfId="5" applyFont="1" applyFill="1" applyBorder="1" applyAlignment="1" applyProtection="1">
      <alignment vertical="center"/>
      <protection hidden="1"/>
    </xf>
    <xf numFmtId="6" fontId="15" fillId="3" borderId="77" xfId="5" applyNumberFormat="1" applyFont="1" applyFill="1" applyBorder="1" applyAlignment="1" applyProtection="1">
      <alignment vertical="center" wrapText="1"/>
      <protection hidden="1"/>
    </xf>
    <xf numFmtId="0" fontId="15" fillId="3" borderId="0" xfId="5" applyFont="1" applyFill="1" applyBorder="1" applyAlignment="1" applyProtection="1">
      <alignment vertical="center" wrapText="1"/>
      <protection hidden="1"/>
    </xf>
    <xf numFmtId="0" fontId="0" fillId="3" borderId="0" xfId="0" applyFill="1" applyAlignment="1" applyProtection="1">
      <alignment horizontal="left" vertical="center" indent="1"/>
      <protection hidden="1"/>
    </xf>
    <xf numFmtId="164" fontId="0" fillId="6" borderId="230" xfId="0" applyNumberFormat="1" applyFill="1" applyBorder="1" applyAlignment="1" applyProtection="1">
      <alignment horizontal="center" vertical="center"/>
      <protection locked="0" hidden="1"/>
    </xf>
    <xf numFmtId="175" fontId="106" fillId="9" borderId="230" xfId="0" applyNumberFormat="1" applyFont="1" applyFill="1" applyBorder="1" applyAlignment="1" applyProtection="1">
      <alignment horizontal="center" vertical="center"/>
      <protection hidden="1"/>
    </xf>
    <xf numFmtId="175" fontId="106" fillId="10" borderId="230" xfId="0" applyNumberFormat="1" applyFont="1" applyFill="1" applyBorder="1" applyAlignment="1" applyProtection="1">
      <alignment horizontal="center" vertical="center"/>
      <protection hidden="1"/>
    </xf>
    <xf numFmtId="175" fontId="106" fillId="13" borderId="230" xfId="0" applyNumberFormat="1" applyFont="1" applyFill="1" applyBorder="1" applyAlignment="1" applyProtection="1">
      <alignment horizontal="center" vertical="center"/>
      <protection hidden="1"/>
    </xf>
    <xf numFmtId="164" fontId="0" fillId="6" borderId="215" xfId="0" applyNumberFormat="1" applyFill="1" applyBorder="1" applyAlignment="1" applyProtection="1">
      <alignment horizontal="center" vertical="center"/>
      <protection locked="0" hidden="1"/>
    </xf>
    <xf numFmtId="0" fontId="0" fillId="9" borderId="86" xfId="0" applyFill="1" applyBorder="1" applyAlignment="1">
      <alignment horizontal="center" vertical="center"/>
    </xf>
    <xf numFmtId="0" fontId="0" fillId="9" borderId="85" xfId="0" applyFill="1" applyBorder="1" applyAlignment="1">
      <alignment horizontal="center" vertical="center"/>
    </xf>
    <xf numFmtId="0" fontId="0" fillId="9" borderId="411" xfId="0" applyFill="1" applyBorder="1" applyAlignment="1">
      <alignment horizontal="center" vertical="center"/>
    </xf>
    <xf numFmtId="0" fontId="0" fillId="3" borderId="414" xfId="0" applyFill="1" applyBorder="1" applyAlignment="1">
      <alignment horizontal="center" vertical="center"/>
    </xf>
    <xf numFmtId="0" fontId="0" fillId="3" borderId="84" xfId="0" applyFill="1" applyBorder="1" applyAlignment="1">
      <alignment horizontal="center" vertical="center"/>
    </xf>
    <xf numFmtId="0" fontId="0" fillId="3" borderId="64" xfId="0" applyFill="1" applyBorder="1" applyAlignment="1">
      <alignment horizontal="center" vertical="center"/>
    </xf>
    <xf numFmtId="0" fontId="0" fillId="3" borderId="278" xfId="0" applyFill="1" applyBorder="1" applyAlignment="1" applyProtection="1">
      <alignment horizontal="center" vertical="center"/>
      <protection hidden="1"/>
    </xf>
    <xf numFmtId="164" fontId="0" fillId="6" borderId="279" xfId="5" applyNumberFormat="1" applyFont="1" applyFill="1" applyBorder="1" applyProtection="1">
      <alignment horizontal="right" vertical="center" indent="1"/>
      <protection locked="0" hidden="1"/>
    </xf>
    <xf numFmtId="164" fontId="0" fillId="22" borderId="279" xfId="5" applyNumberFormat="1" applyFont="1" applyFill="1" applyBorder="1" applyProtection="1">
      <alignment horizontal="right" vertical="center" indent="1"/>
      <protection hidden="1"/>
    </xf>
    <xf numFmtId="0" fontId="0" fillId="13" borderId="214" xfId="0" applyFill="1" applyBorder="1" applyAlignment="1" applyProtection="1">
      <alignment vertical="center"/>
      <protection hidden="1"/>
    </xf>
    <xf numFmtId="0" fontId="0" fillId="10" borderId="214" xfId="0" applyFill="1" applyBorder="1" applyAlignment="1" applyProtection="1">
      <alignment vertical="center"/>
      <protection hidden="1"/>
    </xf>
    <xf numFmtId="0" fontId="0" fillId="9" borderId="214" xfId="0" applyFill="1" applyBorder="1" applyAlignment="1" applyProtection="1">
      <alignment vertical="center"/>
      <protection hidden="1"/>
    </xf>
    <xf numFmtId="0" fontId="0" fillId="13" borderId="404" xfId="0" applyFill="1" applyBorder="1" applyAlignment="1" applyProtection="1">
      <alignment vertical="center"/>
      <protection hidden="1"/>
    </xf>
    <xf numFmtId="0" fontId="4" fillId="13" borderId="415" xfId="0" applyFont="1" applyFill="1" applyBorder="1" applyAlignment="1" applyProtection="1">
      <alignment horizontal="left" vertical="center" indent="1"/>
      <protection hidden="1"/>
    </xf>
    <xf numFmtId="0" fontId="0" fillId="13" borderId="415" xfId="0" applyFill="1" applyBorder="1" applyAlignment="1" applyProtection="1">
      <alignment vertical="center"/>
      <protection hidden="1"/>
    </xf>
    <xf numFmtId="0" fontId="4" fillId="10" borderId="196" xfId="0" applyFont="1" applyFill="1" applyBorder="1" applyAlignment="1" applyProtection="1">
      <alignment horizontal="left" vertical="center" indent="1"/>
      <protection hidden="1"/>
    </xf>
    <xf numFmtId="0" fontId="0" fillId="10" borderId="196" xfId="0" applyFill="1" applyBorder="1" applyAlignment="1" applyProtection="1">
      <alignment vertical="center"/>
      <protection hidden="1"/>
    </xf>
    <xf numFmtId="0" fontId="4" fillId="9" borderId="196" xfId="0" applyFont="1" applyFill="1" applyBorder="1" applyAlignment="1" applyProtection="1">
      <alignment horizontal="left" vertical="center"/>
      <protection hidden="1"/>
    </xf>
    <xf numFmtId="0" fontId="0" fillId="9" borderId="196" xfId="0" applyFill="1" applyBorder="1" applyAlignment="1" applyProtection="1">
      <alignment horizontal="center" vertical="center"/>
      <protection hidden="1"/>
    </xf>
    <xf numFmtId="0" fontId="4" fillId="13" borderId="196" xfId="0" applyFont="1" applyFill="1" applyBorder="1" applyAlignment="1" applyProtection="1">
      <alignment horizontal="left" vertical="center" indent="1"/>
      <protection hidden="1"/>
    </xf>
    <xf numFmtId="0" fontId="0" fillId="13" borderId="196" xfId="0" applyFill="1" applyBorder="1" applyAlignment="1" applyProtection="1">
      <alignment vertical="center"/>
      <protection hidden="1"/>
    </xf>
    <xf numFmtId="0" fontId="58" fillId="3" borderId="275" xfId="0" applyFont="1" applyFill="1" applyBorder="1" applyAlignment="1" applyProtection="1">
      <alignment vertical="center"/>
      <protection hidden="1"/>
    </xf>
    <xf numFmtId="0" fontId="58" fillId="3" borderId="256" xfId="0" applyFont="1" applyFill="1" applyBorder="1" applyAlignment="1" applyProtection="1">
      <alignment vertical="center"/>
      <protection hidden="1"/>
    </xf>
    <xf numFmtId="0" fontId="58" fillId="3" borderId="264" xfId="0" applyFont="1" applyFill="1" applyBorder="1" applyAlignment="1" applyProtection="1">
      <alignment vertical="center"/>
      <protection hidden="1"/>
    </xf>
    <xf numFmtId="0" fontId="58" fillId="3" borderId="262" xfId="0" applyFont="1" applyFill="1" applyBorder="1" applyAlignment="1" applyProtection="1">
      <alignment vertical="center"/>
      <protection hidden="1"/>
    </xf>
    <xf numFmtId="0" fontId="58" fillId="3" borderId="265" xfId="0" applyFont="1" applyFill="1" applyBorder="1" applyAlignment="1" applyProtection="1">
      <alignment vertical="center"/>
      <protection hidden="1"/>
    </xf>
    <xf numFmtId="0" fontId="58" fillId="3" borderId="246" xfId="0" applyFont="1" applyFill="1" applyBorder="1" applyAlignment="1" applyProtection="1">
      <alignment vertical="center"/>
      <protection hidden="1"/>
    </xf>
    <xf numFmtId="0" fontId="59" fillId="3" borderId="0" xfId="0" applyFont="1" applyFill="1" applyAlignment="1" applyProtection="1">
      <alignment vertical="center"/>
      <protection hidden="1"/>
    </xf>
    <xf numFmtId="0" fontId="15" fillId="3" borderId="275" xfId="5" applyFont="1" applyFill="1" applyBorder="1" applyProtection="1">
      <alignment horizontal="right" vertical="center" indent="1"/>
      <protection hidden="1"/>
    </xf>
    <xf numFmtId="0" fontId="15" fillId="3" borderId="262" xfId="5" applyFont="1" applyFill="1" applyBorder="1" applyProtection="1">
      <alignment horizontal="right" vertical="center" indent="1"/>
      <protection hidden="1"/>
    </xf>
    <xf numFmtId="0" fontId="37" fillId="3" borderId="0" xfId="0" applyFont="1" applyFill="1" applyAlignment="1" applyProtection="1">
      <alignment horizontal="left" wrapText="1"/>
      <protection hidden="1"/>
    </xf>
    <xf numFmtId="0" fontId="0" fillId="3" borderId="180" xfId="0" applyFill="1" applyBorder="1" applyAlignment="1">
      <alignment horizontal="center" vertical="center"/>
    </xf>
    <xf numFmtId="0" fontId="0" fillId="3" borderId="183" xfId="0" applyFill="1" applyBorder="1" applyAlignment="1">
      <alignment horizontal="center" vertical="center"/>
    </xf>
    <xf numFmtId="0" fontId="0" fillId="9" borderId="182" xfId="0" applyFill="1" applyBorder="1" applyAlignment="1">
      <alignment horizontal="center" vertical="center"/>
    </xf>
    <xf numFmtId="0" fontId="0" fillId="3" borderId="416" xfId="0" applyFill="1" applyBorder="1" applyAlignment="1">
      <alignment horizontal="center" vertical="center"/>
    </xf>
    <xf numFmtId="0" fontId="0" fillId="9" borderId="180" xfId="0" applyFill="1" applyBorder="1" applyAlignment="1">
      <alignment horizontal="center" vertical="center"/>
    </xf>
    <xf numFmtId="9" fontId="0" fillId="3" borderId="183" xfId="1" applyFont="1" applyFill="1" applyBorder="1" applyAlignment="1">
      <alignment horizontal="center" vertical="center"/>
    </xf>
    <xf numFmtId="0" fontId="119" fillId="9" borderId="0" xfId="0" applyFont="1" applyFill="1" applyAlignment="1" applyProtection="1">
      <alignment vertical="center"/>
      <protection hidden="1"/>
    </xf>
    <xf numFmtId="0" fontId="2" fillId="3" borderId="90" xfId="0" applyFont="1" applyFill="1" applyBorder="1" applyAlignment="1">
      <alignment horizontal="center" vertical="center"/>
    </xf>
    <xf numFmtId="0" fontId="2" fillId="3" borderId="88" xfId="0" applyFont="1" applyFill="1" applyBorder="1" applyAlignment="1">
      <alignment horizontal="center" vertical="center"/>
    </xf>
    <xf numFmtId="0" fontId="2" fillId="3" borderId="373" xfId="0" applyFont="1" applyFill="1" applyBorder="1" applyAlignment="1">
      <alignment horizontal="center" vertical="center"/>
    </xf>
    <xf numFmtId="175" fontId="106" fillId="10" borderId="419" xfId="0" applyNumberFormat="1" applyFont="1" applyFill="1" applyBorder="1" applyAlignment="1" applyProtection="1">
      <alignment horizontal="center" vertical="center"/>
      <protection hidden="1"/>
    </xf>
    <xf numFmtId="164" fontId="106" fillId="3" borderId="419" xfId="0" quotePrefix="1" applyNumberFormat="1" applyFont="1" applyFill="1" applyBorder="1" applyAlignment="1" applyProtection="1">
      <alignment horizontal="center" vertical="center"/>
      <protection hidden="1"/>
    </xf>
    <xf numFmtId="175" fontId="106" fillId="9" borderId="421" xfId="0" applyNumberFormat="1" applyFont="1" applyFill="1" applyBorder="1" applyAlignment="1" applyProtection="1">
      <alignment horizontal="center" vertical="center"/>
      <protection hidden="1"/>
    </xf>
    <xf numFmtId="175" fontId="106" fillId="9" borderId="422" xfId="0" applyNumberFormat="1" applyFont="1" applyFill="1" applyBorder="1" applyAlignment="1" applyProtection="1">
      <alignment horizontal="center" vertical="center"/>
      <protection hidden="1"/>
    </xf>
    <xf numFmtId="175" fontId="106" fillId="9" borderId="423" xfId="0" applyNumberFormat="1" applyFont="1" applyFill="1" applyBorder="1" applyAlignment="1" applyProtection="1">
      <alignment horizontal="center" vertical="center"/>
      <protection hidden="1"/>
    </xf>
    <xf numFmtId="175" fontId="106" fillId="9" borderId="424" xfId="0" applyNumberFormat="1" applyFont="1" applyFill="1" applyBorder="1" applyAlignment="1" applyProtection="1">
      <alignment horizontal="center" vertical="center"/>
      <protection hidden="1"/>
    </xf>
    <xf numFmtId="175" fontId="106" fillId="9" borderId="420" xfId="0" applyNumberFormat="1" applyFont="1" applyFill="1" applyBorder="1" applyAlignment="1" applyProtection="1">
      <alignment horizontal="center" vertical="center"/>
      <protection hidden="1"/>
    </xf>
    <xf numFmtId="0" fontId="15" fillId="3" borderId="254" xfId="3" applyFont="1" applyFill="1" applyBorder="1" applyAlignment="1" applyProtection="1">
      <alignment horizontal="center" vertical="center"/>
      <protection hidden="1"/>
    </xf>
    <xf numFmtId="164" fontId="13" fillId="22" borderId="428" xfId="5" applyNumberFormat="1" applyFont="1" applyFill="1" applyBorder="1" applyProtection="1">
      <alignment horizontal="right" vertical="center" indent="1"/>
      <protection hidden="1"/>
    </xf>
    <xf numFmtId="0" fontId="3" fillId="27" borderId="383" xfId="0" applyFont="1" applyFill="1" applyBorder="1" applyAlignment="1">
      <alignment vertical="center"/>
    </xf>
    <xf numFmtId="3" fontId="15" fillId="0" borderId="253" xfId="4" applyNumberFormat="1" applyFont="1" applyFill="1" applyBorder="1" applyProtection="1">
      <alignment horizontal="left" vertical="center" indent="1"/>
      <protection hidden="1"/>
    </xf>
    <xf numFmtId="3" fontId="15" fillId="0" borderId="0" xfId="4" applyNumberFormat="1" applyFont="1" applyFill="1" applyBorder="1" applyProtection="1">
      <alignment horizontal="left" vertical="center" indent="1"/>
      <protection hidden="1"/>
    </xf>
    <xf numFmtId="0" fontId="3" fillId="3" borderId="0" xfId="4" applyFont="1" applyFill="1" applyBorder="1" applyProtection="1">
      <alignment horizontal="left" vertical="center" indent="1"/>
      <protection hidden="1"/>
    </xf>
    <xf numFmtId="0" fontId="3" fillId="3" borderId="73" xfId="4" applyFont="1" applyFill="1" applyBorder="1" applyProtection="1">
      <alignment horizontal="left" vertical="center" indent="1"/>
      <protection hidden="1"/>
    </xf>
    <xf numFmtId="0" fontId="18" fillId="3" borderId="7" xfId="0" applyFont="1" applyFill="1" applyBorder="1" applyAlignment="1" applyProtection="1">
      <alignment horizontal="center" vertical="top"/>
      <protection hidden="1"/>
    </xf>
    <xf numFmtId="0" fontId="123" fillId="0" borderId="196" xfId="3" applyFont="1" applyBorder="1" applyAlignment="1" applyProtection="1">
      <alignment horizontal="center" vertical="center"/>
      <protection hidden="1"/>
    </xf>
    <xf numFmtId="0" fontId="124" fillId="3" borderId="196" xfId="4" applyFont="1" applyFill="1" applyBorder="1" applyProtection="1">
      <alignment horizontal="left" vertical="center" indent="1"/>
      <protection hidden="1"/>
    </xf>
    <xf numFmtId="172" fontId="124" fillId="3" borderId="196" xfId="5" applyNumberFormat="1" applyFont="1" applyFill="1" applyBorder="1" applyProtection="1">
      <alignment horizontal="right" vertical="center" indent="1"/>
      <protection hidden="1"/>
    </xf>
    <xf numFmtId="9" fontId="15" fillId="0" borderId="196" xfId="5" applyNumberFormat="1" applyFont="1" applyFill="1" applyBorder="1" applyAlignment="1" applyProtection="1">
      <alignment horizontal="right" vertical="center" wrapText="1" indent="1"/>
      <protection hidden="1"/>
    </xf>
    <xf numFmtId="0" fontId="0" fillId="3" borderId="196" xfId="0" applyFill="1" applyBorder="1" applyAlignment="1">
      <alignment horizontal="center" vertical="center"/>
    </xf>
    <xf numFmtId="0" fontId="15" fillId="0" borderId="77" xfId="3" applyFont="1" applyBorder="1" applyAlignment="1" applyProtection="1">
      <alignment horizontal="center" vertical="center"/>
      <protection hidden="1"/>
    </xf>
    <xf numFmtId="0" fontId="15" fillId="22" borderId="0" xfId="3" applyFont="1" applyFill="1" applyAlignment="1" applyProtection="1">
      <alignment horizontal="center" vertical="center"/>
      <protection hidden="1"/>
    </xf>
    <xf numFmtId="0" fontId="81" fillId="3" borderId="77" xfId="0" applyFont="1" applyFill="1" applyBorder="1" applyAlignment="1" applyProtection="1">
      <alignment horizontal="right" vertical="center" indent="1"/>
      <protection hidden="1"/>
    </xf>
    <xf numFmtId="0" fontId="0" fillId="3" borderId="77" xfId="0" applyFill="1" applyBorder="1" applyAlignment="1">
      <alignment horizontal="center" vertical="top"/>
    </xf>
    <xf numFmtId="0" fontId="0" fillId="3" borderId="77" xfId="0" applyFill="1" applyBorder="1" applyAlignment="1">
      <alignment horizontal="center" vertical="center"/>
    </xf>
    <xf numFmtId="9" fontId="15" fillId="0" borderId="77" xfId="5" applyNumberFormat="1" applyFont="1" applyFill="1" applyBorder="1" applyProtection="1">
      <alignment horizontal="right" vertical="center" indent="1"/>
      <protection hidden="1"/>
    </xf>
    <xf numFmtId="0" fontId="0" fillId="22" borderId="0" xfId="0" applyFill="1" applyAlignment="1" applyProtection="1">
      <alignment vertical="center"/>
      <protection hidden="1"/>
    </xf>
    <xf numFmtId="168" fontId="80" fillId="22" borderId="0" xfId="1" applyNumberFormat="1" applyFont="1" applyFill="1" applyBorder="1" applyAlignment="1" applyProtection="1">
      <alignment horizontal="right" vertical="center"/>
      <protection hidden="1"/>
    </xf>
    <xf numFmtId="168" fontId="80" fillId="22" borderId="0" xfId="5" applyNumberFormat="1" applyFont="1" applyFill="1" applyBorder="1" applyProtection="1">
      <alignment horizontal="right" vertical="center" indent="1"/>
      <protection hidden="1"/>
    </xf>
    <xf numFmtId="0" fontId="70" fillId="3" borderId="137" xfId="5" applyFont="1" applyFill="1" applyBorder="1" applyProtection="1">
      <alignment horizontal="right" vertical="center" indent="1"/>
      <protection hidden="1"/>
    </xf>
    <xf numFmtId="176" fontId="70" fillId="3" borderId="137" xfId="0" applyNumberFormat="1" applyFont="1" applyFill="1" applyBorder="1" applyAlignment="1" applyProtection="1">
      <alignment horizontal="right" vertical="center" indent="1"/>
      <protection hidden="1"/>
    </xf>
    <xf numFmtId="176" fontId="70" fillId="3" borderId="75" xfId="0" applyNumberFormat="1" applyFont="1" applyFill="1" applyBorder="1" applyAlignment="1" applyProtection="1">
      <alignment horizontal="right" vertical="center" indent="1"/>
      <protection hidden="1"/>
    </xf>
    <xf numFmtId="0" fontId="15" fillId="3" borderId="75" xfId="0" applyFont="1" applyFill="1" applyBorder="1" applyAlignment="1" applyProtection="1">
      <alignment vertical="center"/>
      <protection hidden="1"/>
    </xf>
    <xf numFmtId="0" fontId="15" fillId="3" borderId="137" xfId="0" applyFont="1" applyFill="1" applyBorder="1" applyAlignment="1" applyProtection="1">
      <alignment vertical="center"/>
      <protection hidden="1"/>
    </xf>
    <xf numFmtId="176" fontId="37" fillId="3" borderId="137" xfId="0" applyNumberFormat="1" applyFont="1" applyFill="1" applyBorder="1" applyAlignment="1" applyProtection="1">
      <alignment horizontal="right" vertical="center" indent="1"/>
      <protection hidden="1"/>
    </xf>
    <xf numFmtId="176" fontId="37" fillId="3" borderId="75" xfId="0" applyNumberFormat="1" applyFont="1" applyFill="1" applyBorder="1" applyAlignment="1" applyProtection="1">
      <alignment horizontal="right" vertical="center" indent="1"/>
      <protection hidden="1"/>
    </xf>
    <xf numFmtId="0" fontId="15" fillId="3" borderId="4" xfId="5" applyFont="1" applyFill="1" applyBorder="1" applyAlignment="1" applyProtection="1">
      <alignment vertical="center" wrapText="1"/>
      <protection hidden="1"/>
    </xf>
    <xf numFmtId="164" fontId="13" fillId="22" borderId="248" xfId="5" applyNumberFormat="1" applyFont="1" applyFill="1" applyBorder="1" applyProtection="1">
      <alignment horizontal="right" vertical="center" indent="1"/>
      <protection hidden="1"/>
    </xf>
    <xf numFmtId="164" fontId="0" fillId="6" borderId="441" xfId="5" applyNumberFormat="1" applyFont="1" applyFill="1" applyBorder="1" applyProtection="1">
      <alignment horizontal="right" vertical="center" indent="1"/>
      <protection locked="0" hidden="1"/>
    </xf>
    <xf numFmtId="164" fontId="0" fillId="3" borderId="249" xfId="5" applyNumberFormat="1" applyFont="1" applyFill="1" applyBorder="1" applyProtection="1">
      <alignment horizontal="right" vertical="center" indent="1"/>
      <protection hidden="1"/>
    </xf>
    <xf numFmtId="164" fontId="13" fillId="22" borderId="247" xfId="5" applyNumberFormat="1" applyFont="1" applyFill="1" applyBorder="1" applyProtection="1">
      <alignment horizontal="right" vertical="center" indent="1"/>
      <protection hidden="1"/>
    </xf>
    <xf numFmtId="0" fontId="0" fillId="3" borderId="164" xfId="0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78" fillId="3" borderId="0" xfId="4" applyFont="1" applyFill="1" applyBorder="1" applyProtection="1">
      <alignment horizontal="left" vertical="center" indent="1"/>
      <protection hidden="1"/>
    </xf>
    <xf numFmtId="49" fontId="0" fillId="0" borderId="0" xfId="0" applyNumberFormat="1" applyAlignment="1">
      <alignment vertical="center"/>
    </xf>
    <xf numFmtId="0" fontId="0" fillId="0" borderId="83" xfId="0" applyBorder="1" applyAlignment="1">
      <alignment vertical="center"/>
    </xf>
    <xf numFmtId="177" fontId="127" fillId="22" borderId="462" xfId="6" applyNumberFormat="1" applyFont="1" applyFill="1" applyBorder="1" applyAlignment="1" applyProtection="1">
      <alignment horizontal="right" vertical="center" indent="1"/>
      <protection hidden="1"/>
    </xf>
    <xf numFmtId="0" fontId="15" fillId="9" borderId="72" xfId="0" applyFont="1" applyFill="1" applyBorder="1" applyAlignment="1" applyProtection="1">
      <alignment vertical="center"/>
      <protection hidden="1"/>
    </xf>
    <xf numFmtId="0" fontId="8" fillId="9" borderId="0" xfId="0" applyFont="1" applyFill="1" applyAlignment="1" applyProtection="1">
      <alignment horizontal="left" vertical="center"/>
      <protection hidden="1"/>
    </xf>
    <xf numFmtId="0" fontId="95" fillId="9" borderId="0" xfId="0" applyFont="1" applyFill="1" applyAlignment="1" applyProtection="1">
      <alignment vertical="center"/>
      <protection hidden="1"/>
    </xf>
    <xf numFmtId="0" fontId="95" fillId="9" borderId="0" xfId="5" applyFont="1" applyFill="1" applyBorder="1" applyAlignment="1" applyProtection="1">
      <alignment horizontal="right" vertical="center" indent="3"/>
      <protection hidden="1"/>
    </xf>
    <xf numFmtId="0" fontId="15" fillId="9" borderId="465" xfId="0" applyFont="1" applyFill="1" applyBorder="1" applyAlignment="1" applyProtection="1">
      <alignment vertical="center"/>
      <protection hidden="1"/>
    </xf>
    <xf numFmtId="0" fontId="15" fillId="9" borderId="466" xfId="0" applyFont="1" applyFill="1" applyBorder="1" applyAlignment="1" applyProtection="1">
      <alignment vertical="center"/>
      <protection hidden="1"/>
    </xf>
    <xf numFmtId="0" fontId="15" fillId="9" borderId="467" xfId="0" applyFont="1" applyFill="1" applyBorder="1" applyAlignment="1" applyProtection="1">
      <alignment vertical="center"/>
      <protection hidden="1"/>
    </xf>
    <xf numFmtId="0" fontId="8" fillId="9" borderId="466" xfId="0" applyFont="1" applyFill="1" applyBorder="1" applyAlignment="1" applyProtection="1">
      <alignment horizontal="left" vertical="center"/>
      <protection hidden="1"/>
    </xf>
    <xf numFmtId="0" fontId="95" fillId="9" borderId="0" xfId="4" applyFont="1" applyFill="1" applyBorder="1" applyAlignment="1" applyProtection="1">
      <alignment horizontal="left" vertical="center" indent="5"/>
      <protection hidden="1"/>
    </xf>
    <xf numFmtId="3" fontId="127" fillId="9" borderId="468" xfId="5" applyNumberFormat="1" applyFont="1" applyFill="1" applyBorder="1" applyProtection="1">
      <alignment horizontal="right" vertical="center" indent="1"/>
      <protection hidden="1"/>
    </xf>
    <xf numFmtId="3" fontId="127" fillId="9" borderId="469" xfId="5" applyNumberFormat="1" applyFont="1" applyFill="1" applyBorder="1" applyProtection="1">
      <alignment horizontal="right" vertical="center" indent="1"/>
      <protection hidden="1"/>
    </xf>
    <xf numFmtId="0" fontId="130" fillId="9" borderId="471" xfId="0" applyFont="1" applyFill="1" applyBorder="1" applyAlignment="1" applyProtection="1">
      <alignment horizontal="left" vertical="center"/>
      <protection hidden="1"/>
    </xf>
    <xf numFmtId="0" fontId="130" fillId="9" borderId="474" xfId="0" applyFont="1" applyFill="1" applyBorder="1" applyAlignment="1" applyProtection="1">
      <alignment vertical="center"/>
      <protection hidden="1"/>
    </xf>
    <xf numFmtId="3" fontId="127" fillId="9" borderId="477" xfId="5" applyNumberFormat="1" applyFont="1" applyFill="1" applyBorder="1" applyProtection="1">
      <alignment horizontal="right" vertical="center" indent="1"/>
      <protection hidden="1"/>
    </xf>
    <xf numFmtId="0" fontId="0" fillId="0" borderId="18" xfId="0" applyBorder="1" applyAlignment="1">
      <alignment vertical="center"/>
    </xf>
    <xf numFmtId="0" fontId="0" fillId="3" borderId="470" xfId="0" applyFill="1" applyBorder="1" applyAlignment="1">
      <alignment horizontal="center" vertical="center"/>
    </xf>
    <xf numFmtId="0" fontId="0" fillId="9" borderId="470" xfId="0" applyFill="1" applyBorder="1" applyAlignment="1">
      <alignment horizontal="center" vertical="center"/>
    </xf>
    <xf numFmtId="0" fontId="0" fillId="3" borderId="83" xfId="0" applyFill="1" applyBorder="1" applyAlignment="1">
      <alignment horizontal="center" vertical="center"/>
    </xf>
    <xf numFmtId="0" fontId="0" fillId="3" borderId="478" xfId="0" applyFill="1" applyBorder="1" applyAlignment="1">
      <alignment vertical="center"/>
    </xf>
    <xf numFmtId="0" fontId="0" fillId="3" borderId="480" xfId="0" applyFill="1" applyBorder="1" applyAlignment="1">
      <alignment horizontal="center" vertical="center"/>
    </xf>
    <xf numFmtId="0" fontId="0" fillId="3" borderId="89" xfId="0" applyFill="1" applyBorder="1" applyAlignment="1">
      <alignment horizontal="center" vertical="center"/>
    </xf>
    <xf numFmtId="0" fontId="0" fillId="3" borderId="65" xfId="0" applyFill="1" applyBorder="1" applyAlignment="1">
      <alignment vertical="center"/>
    </xf>
    <xf numFmtId="0" fontId="0" fillId="3" borderId="63" xfId="0" applyFill="1" applyBorder="1" applyAlignment="1">
      <alignment vertical="center"/>
    </xf>
    <xf numFmtId="0" fontId="0" fillId="3" borderId="483" xfId="0" applyFill="1" applyBorder="1" applyAlignment="1">
      <alignment vertical="center"/>
    </xf>
    <xf numFmtId="0" fontId="0" fillId="3" borderId="484" xfId="0" applyFill="1" applyBorder="1" applyAlignment="1">
      <alignment vertical="center"/>
    </xf>
    <xf numFmtId="0" fontId="0" fillId="3" borderId="86" xfId="0" applyFill="1" applyBorder="1" applyAlignment="1">
      <alignment horizontal="center" vertical="center"/>
    </xf>
    <xf numFmtId="0" fontId="0" fillId="3" borderId="485" xfId="0" applyFill="1" applyBorder="1" applyAlignment="1">
      <alignment horizontal="center" vertical="center"/>
    </xf>
    <xf numFmtId="0" fontId="0" fillId="3" borderId="88" xfId="0" applyFill="1" applyBorder="1" applyAlignment="1">
      <alignment horizontal="center" vertical="center"/>
    </xf>
    <xf numFmtId="0" fontId="0" fillId="3" borderId="479" xfId="0" applyFill="1" applyBorder="1" applyAlignment="1">
      <alignment horizontal="center" vertical="center"/>
    </xf>
    <xf numFmtId="0" fontId="0" fillId="3" borderId="411" xfId="0" applyFill="1" applyBorder="1" applyAlignment="1">
      <alignment horizontal="center" vertical="center"/>
    </xf>
    <xf numFmtId="0" fontId="0" fillId="3" borderId="90" xfId="0" applyFill="1" applyBorder="1" applyAlignment="1">
      <alignment horizontal="center" vertical="center"/>
    </xf>
    <xf numFmtId="0" fontId="0" fillId="3" borderId="62" xfId="0" applyFill="1" applyBorder="1" applyAlignment="1">
      <alignment horizontal="center" vertical="center"/>
    </xf>
    <xf numFmtId="0" fontId="0" fillId="3" borderId="472" xfId="0" applyFill="1" applyBorder="1" applyAlignment="1">
      <alignment horizontal="center" vertical="center"/>
    </xf>
    <xf numFmtId="0" fontId="0" fillId="9" borderId="472" xfId="0" applyFill="1" applyBorder="1" applyAlignment="1">
      <alignment horizontal="center" vertical="center"/>
    </xf>
    <xf numFmtId="0" fontId="0" fillId="3" borderId="486" xfId="0" applyFill="1" applyBorder="1" applyAlignment="1">
      <alignment horizontal="center" vertical="center"/>
    </xf>
    <xf numFmtId="0" fontId="0" fillId="9" borderId="486" xfId="0" applyFill="1" applyBorder="1" applyAlignment="1">
      <alignment horizontal="center" vertical="center"/>
    </xf>
    <xf numFmtId="0" fontId="15" fillId="2" borderId="4" xfId="0" applyFont="1" applyFill="1" applyBorder="1" applyAlignment="1" applyProtection="1">
      <alignment vertical="center"/>
      <protection hidden="1"/>
    </xf>
    <xf numFmtId="0" fontId="95" fillId="2" borderId="0" xfId="0" applyFont="1" applyFill="1" applyAlignment="1" applyProtection="1">
      <alignment vertical="center"/>
      <protection hidden="1"/>
    </xf>
    <xf numFmtId="0" fontId="95" fillId="2" borderId="0" xfId="5" applyFont="1" applyFill="1" applyBorder="1" applyAlignment="1" applyProtection="1">
      <alignment horizontal="right" vertical="center" indent="3"/>
      <protection hidden="1"/>
    </xf>
    <xf numFmtId="0" fontId="95" fillId="2" borderId="0" xfId="4" applyFont="1" applyFill="1" applyBorder="1" applyAlignment="1" applyProtection="1">
      <alignment horizontal="left" vertical="center" indent="5"/>
      <protection hidden="1"/>
    </xf>
    <xf numFmtId="0" fontId="15" fillId="2" borderId="5" xfId="0" applyFont="1" applyFill="1" applyBorder="1" applyAlignment="1" applyProtection="1">
      <alignment vertical="center"/>
      <protection hidden="1"/>
    </xf>
    <xf numFmtId="2" fontId="15" fillId="9" borderId="486" xfId="0" applyNumberFormat="1" applyFont="1" applyFill="1" applyBorder="1" applyAlignment="1" applyProtection="1">
      <alignment horizontal="center" vertical="center"/>
      <protection hidden="1"/>
    </xf>
    <xf numFmtId="0" fontId="0" fillId="3" borderId="495" xfId="0" applyFill="1" applyBorder="1" applyAlignment="1">
      <alignment horizontal="center" vertical="center"/>
    </xf>
    <xf numFmtId="0" fontId="0" fillId="3" borderId="474" xfId="0" applyFill="1" applyBorder="1" applyAlignment="1">
      <alignment horizontal="center" vertical="center"/>
    </xf>
    <xf numFmtId="0" fontId="0" fillId="3" borderId="497" xfId="0" applyFill="1" applyBorder="1" applyAlignment="1">
      <alignment horizontal="center" vertical="center"/>
    </xf>
    <xf numFmtId="0" fontId="0" fillId="9" borderId="496" xfId="0" applyFill="1" applyBorder="1" applyAlignment="1">
      <alignment horizontal="center" vertical="center"/>
    </xf>
    <xf numFmtId="0" fontId="0" fillId="9" borderId="498" xfId="0" applyFill="1" applyBorder="1" applyAlignment="1">
      <alignment horizontal="center" vertical="center"/>
    </xf>
    <xf numFmtId="0" fontId="15" fillId="22" borderId="290" xfId="0" applyFont="1" applyFill="1" applyBorder="1" applyAlignment="1" applyProtection="1">
      <alignment vertical="center"/>
      <protection hidden="1"/>
    </xf>
    <xf numFmtId="0" fontId="15" fillId="22" borderId="499" xfId="0" applyFont="1" applyFill="1" applyBorder="1" applyAlignment="1" applyProtection="1">
      <alignment vertical="center"/>
      <protection hidden="1"/>
    </xf>
    <xf numFmtId="0" fontId="30" fillId="3" borderId="275" xfId="0" applyFont="1" applyFill="1" applyBorder="1" applyAlignment="1" applyProtection="1">
      <alignment horizontal="left" vertical="center"/>
      <protection hidden="1"/>
    </xf>
    <xf numFmtId="0" fontId="30" fillId="3" borderId="275" xfId="0" applyFont="1" applyFill="1" applyBorder="1" applyAlignment="1" applyProtection="1">
      <alignment horizontal="center" vertical="center"/>
      <protection hidden="1"/>
    </xf>
    <xf numFmtId="0" fontId="30" fillId="3" borderId="9" xfId="0" applyFont="1" applyFill="1" applyBorder="1" applyAlignment="1" applyProtection="1">
      <alignment horizontal="center" vertical="center"/>
      <protection hidden="1"/>
    </xf>
    <xf numFmtId="0" fontId="131" fillId="22" borderId="499" xfId="0" applyFont="1" applyFill="1" applyBorder="1" applyAlignment="1" applyProtection="1">
      <alignment horizontal="center" vertical="center"/>
      <protection hidden="1"/>
    </xf>
    <xf numFmtId="0" fontId="132" fillId="10" borderId="77" xfId="0" applyFont="1" applyFill="1" applyBorder="1" applyAlignment="1" applyProtection="1">
      <alignment horizontal="center" vertical="center"/>
      <protection hidden="1"/>
    </xf>
    <xf numFmtId="0" fontId="36" fillId="4" borderId="194" xfId="0" applyFont="1" applyFill="1" applyBorder="1" applyAlignment="1" applyProtection="1">
      <alignment horizontal="center" vertical="center"/>
      <protection hidden="1"/>
    </xf>
    <xf numFmtId="0" fontId="30" fillId="5" borderId="48" xfId="0" applyFont="1" applyFill="1" applyBorder="1" applyAlignment="1">
      <alignment horizontal="center" vertical="center"/>
    </xf>
    <xf numFmtId="0" fontId="112" fillId="3" borderId="0" xfId="4" applyFont="1" applyFill="1" applyBorder="1" applyAlignment="1" applyProtection="1">
      <alignment horizontal="left" vertical="top" indent="1"/>
      <protection hidden="1"/>
    </xf>
    <xf numFmtId="0" fontId="15" fillId="11" borderId="66" xfId="0" applyFont="1" applyFill="1" applyBorder="1" applyAlignment="1">
      <alignment horizontal="center" vertical="center"/>
    </xf>
    <xf numFmtId="0" fontId="15" fillId="11" borderId="41" xfId="0" applyFont="1" applyFill="1" applyBorder="1" applyAlignment="1">
      <alignment horizontal="center" vertical="center"/>
    </xf>
    <xf numFmtId="0" fontId="0" fillId="0" borderId="241" xfId="0" applyBorder="1"/>
    <xf numFmtId="0" fontId="12" fillId="0" borderId="501" xfId="0" applyFont="1" applyBorder="1" applyAlignment="1">
      <alignment horizontal="center" vertical="center"/>
    </xf>
    <xf numFmtId="0" fontId="12" fillId="0" borderId="500" xfId="0" applyFont="1" applyBorder="1" applyAlignment="1">
      <alignment horizontal="center" vertical="center"/>
    </xf>
    <xf numFmtId="0" fontId="0" fillId="8" borderId="502" xfId="0" applyFill="1" applyBorder="1" applyAlignment="1">
      <alignment horizontal="center" vertical="center"/>
    </xf>
    <xf numFmtId="0" fontId="13" fillId="14" borderId="250" xfId="4" applyFont="1" applyFill="1" applyBorder="1" applyAlignment="1" applyProtection="1">
      <alignment vertical="center" shrinkToFit="1"/>
      <protection hidden="1"/>
    </xf>
    <xf numFmtId="0" fontId="13" fillId="14" borderId="251" xfId="4" applyFont="1" applyFill="1" applyBorder="1" applyAlignment="1" applyProtection="1">
      <alignment vertical="center"/>
      <protection hidden="1"/>
    </xf>
    <xf numFmtId="0" fontId="13" fillId="14" borderId="381" xfId="4" applyFont="1" applyFill="1" applyBorder="1" applyAlignment="1" applyProtection="1">
      <alignment vertical="center"/>
      <protection hidden="1"/>
    </xf>
    <xf numFmtId="0" fontId="13" fillId="14" borderId="276" xfId="4" applyFont="1" applyFill="1" applyBorder="1" applyAlignment="1" applyProtection="1">
      <alignment vertical="center"/>
      <protection hidden="1"/>
    </xf>
    <xf numFmtId="0" fontId="13" fillId="14" borderId="270" xfId="4" applyFont="1" applyFill="1" applyBorder="1" applyAlignment="1" applyProtection="1">
      <alignment vertical="center"/>
      <protection hidden="1"/>
    </xf>
    <xf numFmtId="0" fontId="13" fillId="14" borderId="250" xfId="4" applyFont="1" applyFill="1" applyBorder="1" applyAlignment="1" applyProtection="1">
      <alignment vertical="center"/>
      <protection hidden="1"/>
    </xf>
    <xf numFmtId="0" fontId="13" fillId="14" borderId="280" xfId="4" applyFont="1" applyFill="1" applyBorder="1" applyAlignment="1" applyProtection="1">
      <alignment vertical="center" shrinkToFit="1"/>
      <protection hidden="1"/>
    </xf>
    <xf numFmtId="0" fontId="13" fillId="14" borderId="363" xfId="4" applyFont="1" applyFill="1" applyBorder="1" applyAlignment="1" applyProtection="1">
      <alignment vertical="center"/>
      <protection hidden="1"/>
    </xf>
    <xf numFmtId="0" fontId="13" fillId="14" borderId="280" xfId="4" applyFont="1" applyFill="1" applyBorder="1" applyAlignment="1" applyProtection="1">
      <alignment vertical="center"/>
      <protection hidden="1"/>
    </xf>
    <xf numFmtId="0" fontId="13" fillId="14" borderId="270" xfId="4" applyFont="1" applyFill="1" applyBorder="1" applyAlignment="1" applyProtection="1">
      <alignment vertical="center" shrinkToFit="1"/>
      <protection hidden="1"/>
    </xf>
    <xf numFmtId="164" fontId="15" fillId="6" borderId="260" xfId="0" applyNumberFormat="1" applyFont="1" applyFill="1" applyBorder="1" applyAlignment="1" applyProtection="1">
      <alignment horizontal="center" vertical="center"/>
      <protection locked="0"/>
    </xf>
    <xf numFmtId="0" fontId="49" fillId="20" borderId="0" xfId="0" applyFont="1" applyFill="1" applyAlignment="1" applyProtection="1">
      <alignment horizontal="center" vertical="center" wrapText="1"/>
      <protection hidden="1"/>
    </xf>
    <xf numFmtId="0" fontId="33" fillId="16" borderId="0" xfId="0" applyFont="1" applyFill="1" applyAlignment="1" applyProtection="1">
      <alignment horizontal="center" wrapText="1"/>
      <protection hidden="1"/>
    </xf>
    <xf numFmtId="0" fontId="0" fillId="9" borderId="0" xfId="0" applyFill="1" applyAlignment="1" applyProtection="1">
      <alignment horizontal="left" vertical="center"/>
      <protection hidden="1"/>
    </xf>
    <xf numFmtId="0" fontId="0" fillId="9" borderId="252" xfId="0" applyFill="1" applyBorder="1" applyAlignment="1" applyProtection="1">
      <alignment horizontal="left" vertical="center"/>
      <protection hidden="1"/>
    </xf>
    <xf numFmtId="0" fontId="0" fillId="9" borderId="75" xfId="0" applyFill="1" applyBorder="1" applyAlignment="1" applyProtection="1">
      <alignment horizontal="left" vertical="center"/>
      <protection hidden="1"/>
    </xf>
    <xf numFmtId="0" fontId="38" fillId="9" borderId="0" xfId="0" applyFont="1" applyFill="1" applyAlignment="1" applyProtection="1">
      <alignment vertical="center" wrapText="1"/>
      <protection hidden="1"/>
    </xf>
    <xf numFmtId="0" fontId="38" fillId="9" borderId="7" xfId="0" applyFont="1" applyFill="1" applyBorder="1" applyAlignment="1" applyProtection="1">
      <alignment vertical="center" wrapText="1"/>
      <protection hidden="1"/>
    </xf>
    <xf numFmtId="0" fontId="96" fillId="16" borderId="0" xfId="0" applyFont="1" applyFill="1" applyAlignment="1" applyProtection="1">
      <alignment horizontal="center" vertical="center"/>
      <protection hidden="1"/>
    </xf>
    <xf numFmtId="0" fontId="57" fillId="16" borderId="0" xfId="0" applyFont="1" applyFill="1" applyAlignment="1" applyProtection="1">
      <alignment horizontal="center" vertical="center" wrapText="1"/>
      <protection hidden="1"/>
    </xf>
    <xf numFmtId="0" fontId="57" fillId="16" borderId="0" xfId="0" applyFont="1" applyFill="1" applyAlignment="1" applyProtection="1">
      <alignment horizontal="center" vertical="center"/>
      <protection hidden="1"/>
    </xf>
    <xf numFmtId="0" fontId="0" fillId="6" borderId="235" xfId="0" applyFill="1" applyBorder="1" applyAlignment="1" applyProtection="1">
      <alignment horizontal="center" vertical="center"/>
      <protection locked="0"/>
    </xf>
    <xf numFmtId="0" fontId="0" fillId="7" borderId="235" xfId="0" applyFill="1" applyBorder="1" applyAlignment="1" applyProtection="1">
      <alignment horizontal="center" vertical="center"/>
      <protection locked="0" hidden="1"/>
    </xf>
    <xf numFmtId="0" fontId="30" fillId="20" borderId="235" xfId="0" applyFont="1" applyFill="1" applyBorder="1" applyAlignment="1" applyProtection="1">
      <alignment horizontal="center" vertical="center"/>
      <protection hidden="1"/>
    </xf>
    <xf numFmtId="0" fontId="0" fillId="8" borderId="128" xfId="0" applyFill="1" applyBorder="1" applyAlignment="1" applyProtection="1">
      <alignment horizontal="center" vertical="center"/>
      <protection locked="0" hidden="1"/>
    </xf>
    <xf numFmtId="0" fontId="0" fillId="8" borderId="129" xfId="0" applyFill="1" applyBorder="1" applyAlignment="1" applyProtection="1">
      <alignment horizontal="center" vertical="center"/>
      <protection locked="0" hidden="1"/>
    </xf>
    <xf numFmtId="0" fontId="76" fillId="22" borderId="128" xfId="0" applyFont="1" applyFill="1" applyBorder="1" applyAlignment="1" applyProtection="1">
      <alignment horizontal="center" vertical="center"/>
      <protection locked="0" hidden="1"/>
    </xf>
    <xf numFmtId="0" fontId="76" fillId="22" borderId="129" xfId="0" applyFont="1" applyFill="1" applyBorder="1" applyAlignment="1" applyProtection="1">
      <alignment horizontal="center" vertical="center"/>
      <protection locked="0" hidden="1"/>
    </xf>
    <xf numFmtId="0" fontId="48" fillId="3" borderId="326" xfId="4" applyFont="1" applyFill="1" applyBorder="1" applyProtection="1">
      <alignment horizontal="left" vertical="center" indent="1"/>
      <protection hidden="1"/>
    </xf>
    <xf numFmtId="0" fontId="48" fillId="3" borderId="327" xfId="4" applyFont="1" applyFill="1" applyBorder="1" applyProtection="1">
      <alignment horizontal="left" vertical="center" indent="1"/>
      <protection hidden="1"/>
    </xf>
    <xf numFmtId="0" fontId="48" fillId="3" borderId="328" xfId="4" applyFont="1" applyFill="1" applyBorder="1" applyProtection="1">
      <alignment horizontal="left" vertical="center" indent="1"/>
      <protection hidden="1"/>
    </xf>
    <xf numFmtId="0" fontId="48" fillId="3" borderId="309" xfId="4" applyFont="1" applyFill="1" applyBorder="1" applyProtection="1">
      <alignment horizontal="left" vertical="center" indent="1"/>
      <protection hidden="1"/>
    </xf>
    <xf numFmtId="0" fontId="48" fillId="3" borderId="310" xfId="4" applyFont="1" applyFill="1" applyBorder="1" applyProtection="1">
      <alignment horizontal="left" vertical="center" indent="1"/>
      <protection hidden="1"/>
    </xf>
    <xf numFmtId="0" fontId="48" fillId="3" borderId="311" xfId="4" applyFont="1" applyFill="1" applyBorder="1" applyProtection="1">
      <alignment horizontal="left" vertical="center" indent="1"/>
      <protection hidden="1"/>
    </xf>
    <xf numFmtId="0" fontId="4" fillId="3" borderId="317" xfId="0" applyFont="1" applyFill="1" applyBorder="1" applyAlignment="1" applyProtection="1">
      <alignment horizontal="center" vertical="center"/>
      <protection hidden="1"/>
    </xf>
    <xf numFmtId="0" fontId="4" fillId="3" borderId="318" xfId="0" applyFont="1" applyFill="1" applyBorder="1" applyAlignment="1" applyProtection="1">
      <alignment horizontal="center" vertical="center"/>
      <protection hidden="1"/>
    </xf>
    <xf numFmtId="0" fontId="4" fillId="3" borderId="329" xfId="0" applyFont="1" applyFill="1" applyBorder="1" applyAlignment="1" applyProtection="1">
      <alignment horizontal="center" vertical="center"/>
      <protection hidden="1"/>
    </xf>
    <xf numFmtId="0" fontId="4" fillId="3" borderId="330" xfId="0" applyFont="1" applyFill="1" applyBorder="1" applyAlignment="1" applyProtection="1">
      <alignment horizontal="center" vertical="center"/>
      <protection hidden="1"/>
    </xf>
    <xf numFmtId="0" fontId="48" fillId="3" borderId="333" xfId="0" applyFont="1" applyFill="1" applyBorder="1" applyAlignment="1" applyProtection="1">
      <alignment horizontal="left" vertical="top" wrapText="1" indent="1"/>
      <protection hidden="1"/>
    </xf>
    <xf numFmtId="0" fontId="48" fillId="3" borderId="327" xfId="0" applyFont="1" applyFill="1" applyBorder="1" applyAlignment="1" applyProtection="1">
      <alignment horizontal="left" vertical="top" indent="1"/>
      <protection hidden="1"/>
    </xf>
    <xf numFmtId="0" fontId="48" fillId="3" borderId="334" xfId="0" applyFont="1" applyFill="1" applyBorder="1" applyAlignment="1" applyProtection="1">
      <alignment horizontal="left" vertical="top" indent="1"/>
      <protection hidden="1"/>
    </xf>
    <xf numFmtId="0" fontId="48" fillId="3" borderId="315" xfId="0" applyFont="1" applyFill="1" applyBorder="1" applyAlignment="1" applyProtection="1">
      <alignment horizontal="left" vertical="top" indent="1"/>
      <protection hidden="1"/>
    </xf>
    <xf numFmtId="0" fontId="48" fillId="3" borderId="310" xfId="0" applyFont="1" applyFill="1" applyBorder="1" applyAlignment="1" applyProtection="1">
      <alignment horizontal="left" vertical="top" indent="1"/>
      <protection hidden="1"/>
    </xf>
    <xf numFmtId="0" fontId="48" fillId="3" borderId="316" xfId="0" applyFont="1" applyFill="1" applyBorder="1" applyAlignment="1" applyProtection="1">
      <alignment horizontal="left" vertical="top" indent="1"/>
      <protection hidden="1"/>
    </xf>
    <xf numFmtId="0" fontId="0" fillId="3" borderId="312" xfId="0" applyFill="1" applyBorder="1" applyAlignment="1" applyProtection="1">
      <alignment horizontal="center" vertical="center"/>
      <protection hidden="1"/>
    </xf>
    <xf numFmtId="0" fontId="0" fillId="3" borderId="313" xfId="0" applyFill="1" applyBorder="1" applyAlignment="1" applyProtection="1">
      <alignment horizontal="center" vertical="center"/>
      <protection hidden="1"/>
    </xf>
    <xf numFmtId="0" fontId="0" fillId="3" borderId="314" xfId="0" applyFill="1" applyBorder="1" applyAlignment="1" applyProtection="1">
      <alignment horizontal="center" vertical="center"/>
      <protection hidden="1"/>
    </xf>
    <xf numFmtId="0" fontId="0" fillId="3" borderId="320" xfId="0" applyFill="1" applyBorder="1" applyAlignment="1" applyProtection="1">
      <alignment horizontal="center" vertical="center"/>
      <protection hidden="1"/>
    </xf>
    <xf numFmtId="0" fontId="0" fillId="3" borderId="306" xfId="0" applyFill="1" applyBorder="1" applyAlignment="1" applyProtection="1">
      <alignment horizontal="center" vertical="center"/>
      <protection hidden="1"/>
    </xf>
    <xf numFmtId="0" fontId="0" fillId="3" borderId="129" xfId="0" applyFill="1" applyBorder="1" applyAlignment="1" applyProtection="1">
      <alignment horizontal="center" vertical="center"/>
      <protection hidden="1"/>
    </xf>
    <xf numFmtId="0" fontId="0" fillId="3" borderId="128" xfId="0" applyFill="1" applyBorder="1" applyAlignment="1" applyProtection="1">
      <alignment horizontal="center" vertical="center"/>
      <protection hidden="1"/>
    </xf>
    <xf numFmtId="0" fontId="0" fillId="3" borderId="133" xfId="0" applyFill="1" applyBorder="1" applyAlignment="1" applyProtection="1">
      <alignment horizontal="center" vertical="center"/>
      <protection hidden="1"/>
    </xf>
    <xf numFmtId="0" fontId="0" fillId="3" borderId="305" xfId="0" applyFill="1" applyBorder="1" applyAlignment="1" applyProtection="1">
      <alignment horizontal="center" vertical="center"/>
      <protection hidden="1"/>
    </xf>
    <xf numFmtId="0" fontId="48" fillId="3" borderId="322" xfId="4" applyFont="1" applyFill="1" applyBorder="1" applyProtection="1">
      <alignment horizontal="left" vertical="center" indent="1"/>
      <protection hidden="1"/>
    </xf>
    <xf numFmtId="0" fontId="48" fillId="3" borderId="323" xfId="4" applyFont="1" applyFill="1" applyBorder="1" applyProtection="1">
      <alignment horizontal="left" vertical="center" indent="1"/>
      <protection hidden="1"/>
    </xf>
    <xf numFmtId="0" fontId="48" fillId="3" borderId="324" xfId="4" applyFont="1" applyFill="1" applyBorder="1" applyProtection="1">
      <alignment horizontal="left" vertical="center" indent="1"/>
      <protection hidden="1"/>
    </xf>
    <xf numFmtId="0" fontId="0" fillId="3" borderId="319" xfId="0" applyFill="1" applyBorder="1" applyAlignment="1" applyProtection="1">
      <alignment horizontal="center" vertical="center"/>
      <protection hidden="1"/>
    </xf>
    <xf numFmtId="0" fontId="48" fillId="3" borderId="304" xfId="4" applyFont="1" applyFill="1" applyBorder="1" applyProtection="1">
      <alignment horizontal="left" vertical="center" indent="1"/>
      <protection hidden="1"/>
    </xf>
    <xf numFmtId="0" fontId="48" fillId="3" borderId="235" xfId="4" applyFont="1" applyFill="1" applyBorder="1" applyProtection="1">
      <alignment horizontal="left" vertical="center" indent="1"/>
      <protection hidden="1"/>
    </xf>
    <xf numFmtId="0" fontId="48" fillId="3" borderId="321" xfId="4" applyFont="1" applyFill="1" applyBorder="1" applyProtection="1">
      <alignment horizontal="left" vertical="center" indent="1"/>
      <protection hidden="1"/>
    </xf>
    <xf numFmtId="0" fontId="0" fillId="3" borderId="335" xfId="0" applyFill="1" applyBorder="1" applyAlignment="1" applyProtection="1">
      <alignment horizontal="center" vertical="center"/>
      <protection hidden="1"/>
    </xf>
    <xf numFmtId="0" fontId="0" fillId="3" borderId="318" xfId="0" applyFill="1" applyBorder="1" applyAlignment="1" applyProtection="1">
      <alignment horizontal="center" vertical="center"/>
      <protection hidden="1"/>
    </xf>
    <xf numFmtId="0" fontId="0" fillId="3" borderId="317" xfId="0" applyFill="1" applyBorder="1" applyAlignment="1" applyProtection="1">
      <alignment horizontal="center" vertical="center"/>
      <protection hidden="1"/>
    </xf>
    <xf numFmtId="0" fontId="0" fillId="3" borderId="329" xfId="0" applyFill="1" applyBorder="1" applyAlignment="1" applyProtection="1">
      <alignment horizontal="center" vertical="center"/>
      <protection hidden="1"/>
    </xf>
    <xf numFmtId="0" fontId="0" fillId="3" borderId="330" xfId="0" applyFill="1" applyBorder="1" applyAlignment="1" applyProtection="1">
      <alignment horizontal="center" vertical="center"/>
      <protection hidden="1"/>
    </xf>
    <xf numFmtId="0" fontId="48" fillId="3" borderId="301" xfId="4" applyFont="1" applyFill="1" applyBorder="1" applyProtection="1">
      <alignment horizontal="left" vertical="center" indent="1"/>
      <protection hidden="1"/>
    </xf>
    <xf numFmtId="0" fontId="48" fillId="3" borderId="302" xfId="4" applyFont="1" applyFill="1" applyBorder="1" applyProtection="1">
      <alignment horizontal="left" vertical="center" indent="1"/>
      <protection hidden="1"/>
    </xf>
    <xf numFmtId="0" fontId="48" fillId="3" borderId="303" xfId="4" applyFont="1" applyFill="1" applyBorder="1" applyProtection="1">
      <alignment horizontal="left" vertical="center" indent="1"/>
      <protection hidden="1"/>
    </xf>
    <xf numFmtId="0" fontId="86" fillId="3" borderId="332" xfId="5" applyFont="1" applyFill="1" applyBorder="1" applyProtection="1">
      <alignment horizontal="right" vertical="center" indent="1"/>
      <protection hidden="1"/>
    </xf>
    <xf numFmtId="0" fontId="86" fillId="3" borderId="336" xfId="5" applyFont="1" applyFill="1" applyBorder="1" applyProtection="1">
      <alignment horizontal="right" vertical="center" indent="1"/>
      <protection hidden="1"/>
    </xf>
    <xf numFmtId="0" fontId="86" fillId="3" borderId="337" xfId="5" applyFont="1" applyFill="1" applyBorder="1" applyProtection="1">
      <alignment horizontal="right" vertical="center" indent="1"/>
      <protection hidden="1"/>
    </xf>
    <xf numFmtId="0" fontId="48" fillId="3" borderId="301" xfId="0" applyFont="1" applyFill="1" applyBorder="1" applyAlignment="1" applyProtection="1">
      <alignment horizontal="center" vertical="center"/>
      <protection hidden="1"/>
    </xf>
    <xf numFmtId="0" fontId="48" fillId="3" borderId="302" xfId="0" applyFont="1" applyFill="1" applyBorder="1" applyAlignment="1" applyProtection="1">
      <alignment horizontal="center" vertical="center"/>
      <protection hidden="1"/>
    </xf>
    <xf numFmtId="0" fontId="48" fillId="3" borderId="303" xfId="0" applyFont="1" applyFill="1" applyBorder="1" applyAlignment="1" applyProtection="1">
      <alignment horizontal="center" vertical="center"/>
      <protection hidden="1"/>
    </xf>
    <xf numFmtId="0" fontId="86" fillId="3" borderId="338" xfId="4" applyFont="1" applyFill="1" applyBorder="1" applyProtection="1">
      <alignment horizontal="left" vertical="center" indent="1"/>
      <protection hidden="1"/>
    </xf>
    <xf numFmtId="0" fontId="86" fillId="3" borderId="339" xfId="4" applyFont="1" applyFill="1" applyBorder="1" applyProtection="1">
      <alignment horizontal="left" vertical="center" indent="1"/>
      <protection hidden="1"/>
    </xf>
    <xf numFmtId="0" fontId="86" fillId="3" borderId="340" xfId="4" applyFont="1" applyFill="1" applyBorder="1" applyProtection="1">
      <alignment horizontal="left" vertical="center" indent="1"/>
      <protection hidden="1"/>
    </xf>
    <xf numFmtId="0" fontId="4" fillId="3" borderId="307" xfId="0" applyFont="1" applyFill="1" applyBorder="1" applyAlignment="1" applyProtection="1">
      <alignment horizontal="center" vertical="center"/>
      <protection hidden="1"/>
    </xf>
    <xf numFmtId="0" fontId="4" fillId="3" borderId="135" xfId="0" applyFont="1" applyFill="1" applyBorder="1" applyAlignment="1" applyProtection="1">
      <alignment horizontal="center" vertical="center"/>
      <protection hidden="1"/>
    </xf>
    <xf numFmtId="0" fontId="4" fillId="3" borderId="189" xfId="0" applyFont="1" applyFill="1" applyBorder="1" applyAlignment="1" applyProtection="1">
      <alignment horizontal="center" vertical="center"/>
      <protection hidden="1"/>
    </xf>
    <xf numFmtId="0" fontId="4" fillId="3" borderId="130" xfId="0" applyFont="1" applyFill="1" applyBorder="1" applyAlignment="1" applyProtection="1">
      <alignment horizontal="center" vertical="center"/>
      <protection hidden="1"/>
    </xf>
    <xf numFmtId="0" fontId="4" fillId="3" borderId="308" xfId="0" applyFont="1" applyFill="1" applyBorder="1" applyAlignment="1" applyProtection="1">
      <alignment horizontal="center" vertical="center"/>
      <protection hidden="1"/>
    </xf>
    <xf numFmtId="0" fontId="0" fillId="3" borderId="326" xfId="4" applyFont="1" applyFill="1" applyBorder="1" applyProtection="1">
      <alignment horizontal="left" vertical="center" indent="1"/>
      <protection hidden="1"/>
    </xf>
    <xf numFmtId="0" fontId="0" fillId="3" borderId="327" xfId="4" applyFont="1" applyFill="1" applyBorder="1" applyProtection="1">
      <alignment horizontal="left" vertical="center" indent="1"/>
      <protection hidden="1"/>
    </xf>
    <xf numFmtId="0" fontId="0" fillId="3" borderId="328" xfId="4" applyFont="1" applyFill="1" applyBorder="1" applyProtection="1">
      <alignment horizontal="left" vertical="center" indent="1"/>
      <protection hidden="1"/>
    </xf>
    <xf numFmtId="0" fontId="104" fillId="25" borderId="9" xfId="0" applyFont="1" applyFill="1" applyBorder="1" applyAlignment="1" applyProtection="1">
      <alignment horizontal="left" vertical="center" wrapText="1"/>
      <protection hidden="1"/>
    </xf>
    <xf numFmtId="0" fontId="115" fillId="3" borderId="341" xfId="4" applyFont="1" applyFill="1" applyBorder="1" applyAlignment="1" applyProtection="1">
      <alignment horizontal="left" vertical="center" wrapText="1" indent="1"/>
      <protection hidden="1"/>
    </xf>
    <xf numFmtId="0" fontId="115" fillId="3" borderId="342" xfId="4" applyFont="1" applyFill="1" applyBorder="1" applyAlignment="1" applyProtection="1">
      <alignment horizontal="left" vertical="center" wrapText="1" indent="1"/>
      <protection hidden="1"/>
    </xf>
    <xf numFmtId="0" fontId="115" fillId="3" borderId="344" xfId="4" applyFont="1" applyFill="1" applyBorder="1" applyAlignment="1" applyProtection="1">
      <alignment horizontal="left" vertical="center" wrapText="1" indent="1"/>
      <protection hidden="1"/>
    </xf>
    <xf numFmtId="0" fontId="0" fillId="3" borderId="309" xfId="4" applyFont="1" applyFill="1" applyBorder="1" applyAlignment="1" applyProtection="1">
      <alignment horizontal="left" indent="1"/>
      <protection hidden="1"/>
    </xf>
    <xf numFmtId="0" fontId="0" fillId="3" borderId="310" xfId="4" applyFont="1" applyFill="1" applyBorder="1" applyAlignment="1" applyProtection="1">
      <alignment horizontal="left" indent="1"/>
      <protection hidden="1"/>
    </xf>
    <xf numFmtId="0" fontId="0" fillId="3" borderId="311" xfId="4" applyFont="1" applyFill="1" applyBorder="1" applyAlignment="1" applyProtection="1">
      <alignment horizontal="left" indent="1"/>
      <protection hidden="1"/>
    </xf>
    <xf numFmtId="0" fontId="89" fillId="3" borderId="301" xfId="4" applyFont="1" applyFill="1" applyBorder="1" applyProtection="1">
      <alignment horizontal="left" vertical="center" indent="1"/>
      <protection hidden="1"/>
    </xf>
    <xf numFmtId="0" fontId="89" fillId="3" borderId="302" xfId="4" applyFont="1" applyFill="1" applyBorder="1" applyProtection="1">
      <alignment horizontal="left" vertical="center" indent="1"/>
      <protection hidden="1"/>
    </xf>
    <xf numFmtId="0" fontId="89" fillId="3" borderId="303" xfId="4" applyFont="1" applyFill="1" applyBorder="1" applyProtection="1">
      <alignment horizontal="left" vertical="center" indent="1"/>
      <protection hidden="1"/>
    </xf>
    <xf numFmtId="0" fontId="4" fillId="3" borderId="322" xfId="4" applyFont="1" applyFill="1" applyBorder="1" applyProtection="1">
      <alignment horizontal="left" vertical="center" indent="1"/>
      <protection hidden="1"/>
    </xf>
    <xf numFmtId="0" fontId="4" fillId="3" borderId="323" xfId="4" applyFont="1" applyFill="1" applyBorder="1" applyProtection="1">
      <alignment horizontal="left" vertical="center" indent="1"/>
      <protection hidden="1"/>
    </xf>
    <xf numFmtId="0" fontId="4" fillId="3" borderId="324" xfId="4" applyFont="1" applyFill="1" applyBorder="1" applyProtection="1">
      <alignment horizontal="left" vertical="center" indent="1"/>
      <protection hidden="1"/>
    </xf>
    <xf numFmtId="0" fontId="4" fillId="3" borderId="301" xfId="4" applyFont="1" applyFill="1" applyBorder="1" applyProtection="1">
      <alignment horizontal="left" vertical="center" indent="1"/>
      <protection hidden="1"/>
    </xf>
    <xf numFmtId="0" fontId="4" fillId="3" borderId="302" xfId="4" applyFont="1" applyFill="1" applyBorder="1" applyProtection="1">
      <alignment horizontal="left" vertical="center" indent="1"/>
      <protection hidden="1"/>
    </xf>
    <xf numFmtId="0" fontId="4" fillId="3" borderId="303" xfId="4" applyFont="1" applyFill="1" applyBorder="1" applyProtection="1">
      <alignment horizontal="left" vertical="center" indent="1"/>
      <protection hidden="1"/>
    </xf>
    <xf numFmtId="0" fontId="0" fillId="7" borderId="191" xfId="0" applyFill="1" applyBorder="1" applyAlignment="1" applyProtection="1">
      <alignment horizontal="center" vertical="center" wrapText="1"/>
      <protection locked="0" hidden="1"/>
    </xf>
    <xf numFmtId="0" fontId="0" fillId="7" borderId="192" xfId="0" applyFill="1" applyBorder="1" applyAlignment="1" applyProtection="1">
      <alignment horizontal="center" vertical="center" wrapText="1"/>
      <protection locked="0" hidden="1"/>
    </xf>
    <xf numFmtId="0" fontId="0" fillId="7" borderId="193" xfId="0" applyFill="1" applyBorder="1" applyAlignment="1" applyProtection="1">
      <alignment horizontal="center" vertical="center" wrapText="1"/>
      <protection locked="0" hidden="1"/>
    </xf>
    <xf numFmtId="0" fontId="17" fillId="3" borderId="25" xfId="0" applyFont="1" applyFill="1" applyBorder="1" applyAlignment="1" applyProtection="1">
      <alignment horizontal="center" vertical="center" wrapText="1"/>
      <protection hidden="1"/>
    </xf>
    <xf numFmtId="0" fontId="17" fillId="3" borderId="13" xfId="0" applyFont="1" applyFill="1" applyBorder="1" applyAlignment="1" applyProtection="1">
      <alignment horizontal="center" vertical="center" wrapText="1"/>
      <protection hidden="1"/>
    </xf>
    <xf numFmtId="0" fontId="17" fillId="3" borderId="25" xfId="0" quotePrefix="1" applyFont="1" applyFill="1" applyBorder="1" applyAlignment="1" applyProtection="1">
      <alignment horizontal="center" vertical="center" wrapText="1"/>
      <protection hidden="1"/>
    </xf>
    <xf numFmtId="0" fontId="17" fillId="3" borderId="13" xfId="0" quotePrefix="1" applyFont="1" applyFill="1" applyBorder="1" applyAlignment="1" applyProtection="1">
      <alignment horizontal="center" vertical="center" wrapText="1"/>
      <protection hidden="1"/>
    </xf>
    <xf numFmtId="0" fontId="18" fillId="3" borderId="18" xfId="0" applyFont="1" applyFill="1" applyBorder="1" applyAlignment="1" applyProtection="1">
      <alignment horizontal="center" vertical="top"/>
      <protection hidden="1"/>
    </xf>
    <xf numFmtId="0" fontId="2" fillId="6" borderId="190" xfId="0" applyFont="1" applyFill="1" applyBorder="1" applyAlignment="1" applyProtection="1">
      <alignment horizontal="center" vertical="center" wrapText="1"/>
      <protection locked="0"/>
    </xf>
    <xf numFmtId="0" fontId="2" fillId="6" borderId="197" xfId="0" applyFont="1" applyFill="1" applyBorder="1" applyAlignment="1" applyProtection="1">
      <alignment horizontal="center" vertical="center" wrapText="1"/>
      <protection locked="0"/>
    </xf>
    <xf numFmtId="0" fontId="2" fillId="6" borderId="16" xfId="0" applyFont="1" applyFill="1" applyBorder="1" applyAlignment="1" applyProtection="1">
      <alignment horizontal="center" vertical="center" wrapText="1"/>
      <protection locked="0"/>
    </xf>
    <xf numFmtId="0" fontId="28" fillId="3" borderId="0" xfId="0" applyFont="1" applyFill="1" applyAlignment="1" applyProtection="1">
      <alignment horizontal="center" vertical="center"/>
      <protection hidden="1"/>
    </xf>
    <xf numFmtId="0" fontId="103" fillId="3" borderId="77" xfId="0" applyFont="1" applyFill="1" applyBorder="1" applyAlignment="1" applyProtection="1">
      <alignment horizontal="center" vertical="center" wrapText="1"/>
      <protection hidden="1"/>
    </xf>
    <xf numFmtId="0" fontId="103" fillId="3" borderId="77" xfId="0" applyFont="1" applyFill="1" applyBorder="1" applyAlignment="1" applyProtection="1">
      <alignment horizontal="center" vertical="center"/>
      <protection hidden="1"/>
    </xf>
    <xf numFmtId="0" fontId="103" fillId="3" borderId="18" xfId="0" applyFont="1" applyFill="1" applyBorder="1" applyAlignment="1" applyProtection="1">
      <alignment horizontal="center" vertical="center"/>
      <protection hidden="1"/>
    </xf>
    <xf numFmtId="0" fontId="28" fillId="3" borderId="7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0" fontId="52" fillId="10" borderId="449" xfId="0" applyFont="1" applyFill="1" applyBorder="1" applyAlignment="1" applyProtection="1">
      <alignment horizontal="center" vertical="center"/>
      <protection hidden="1"/>
    </xf>
    <xf numFmtId="0" fontId="52" fillId="10" borderId="450" xfId="0" applyFont="1" applyFill="1" applyBorder="1" applyAlignment="1" applyProtection="1">
      <alignment horizontal="center" vertical="center"/>
      <protection hidden="1"/>
    </xf>
    <xf numFmtId="0" fontId="52" fillId="10" borderId="451" xfId="0" applyFont="1" applyFill="1" applyBorder="1" applyAlignment="1" applyProtection="1">
      <alignment horizontal="center" vertical="center"/>
      <protection hidden="1"/>
    </xf>
    <xf numFmtId="0" fontId="52" fillId="10" borderId="452" xfId="0" applyFont="1" applyFill="1" applyBorder="1" applyAlignment="1" applyProtection="1">
      <alignment horizontal="center" vertical="center"/>
      <protection hidden="1"/>
    </xf>
    <xf numFmtId="0" fontId="52" fillId="10" borderId="285" xfId="0" applyFont="1" applyFill="1" applyBorder="1" applyAlignment="1" applyProtection="1">
      <alignment horizontal="center" vertical="center"/>
      <protection hidden="1"/>
    </xf>
    <xf numFmtId="0" fontId="52" fillId="10" borderId="283" xfId="0" applyFont="1" applyFill="1" applyBorder="1" applyAlignment="1" applyProtection="1">
      <alignment horizontal="center" vertical="center"/>
      <protection hidden="1"/>
    </xf>
    <xf numFmtId="0" fontId="52" fillId="10" borderId="442" xfId="0" applyFont="1" applyFill="1" applyBorder="1" applyAlignment="1" applyProtection="1">
      <alignment horizontal="center" vertical="center"/>
      <protection hidden="1"/>
    </xf>
    <xf numFmtId="0" fontId="52" fillId="10" borderId="370" xfId="0" applyFont="1" applyFill="1" applyBorder="1" applyAlignment="1" applyProtection="1">
      <alignment horizontal="center" vertical="center"/>
      <protection hidden="1"/>
    </xf>
    <xf numFmtId="0" fontId="52" fillId="10" borderId="284" xfId="0" applyFont="1" applyFill="1" applyBorder="1" applyAlignment="1" applyProtection="1">
      <alignment horizontal="center" vertical="center"/>
      <protection hidden="1"/>
    </xf>
    <xf numFmtId="49" fontId="27" fillId="6" borderId="448" xfId="0" applyNumberFormat="1" applyFont="1" applyFill="1" applyBorder="1" applyAlignment="1" applyProtection="1">
      <alignment horizontal="center" vertical="center"/>
      <protection locked="0"/>
    </xf>
    <xf numFmtId="0" fontId="2" fillId="10" borderId="195" xfId="0" applyFont="1" applyFill="1" applyBorder="1" applyAlignment="1" applyProtection="1">
      <alignment horizontal="center" vertical="center"/>
      <protection hidden="1"/>
    </xf>
    <xf numFmtId="0" fontId="2" fillId="10" borderId="196" xfId="0" applyFont="1" applyFill="1" applyBorder="1" applyAlignment="1" applyProtection="1">
      <alignment horizontal="center" vertical="center"/>
      <protection hidden="1"/>
    </xf>
    <xf numFmtId="0" fontId="18" fillId="3" borderId="0" xfId="0" applyFont="1" applyFill="1" applyAlignment="1" applyProtection="1">
      <alignment horizontal="center" vertical="top"/>
      <protection hidden="1"/>
    </xf>
    <xf numFmtId="0" fontId="2" fillId="6" borderId="198" xfId="0" applyFont="1" applyFill="1" applyBorder="1" applyAlignment="1" applyProtection="1">
      <alignment horizontal="center" vertical="center" wrapText="1"/>
      <protection locked="0"/>
    </xf>
    <xf numFmtId="0" fontId="2" fillId="6" borderId="199" xfId="0" applyFont="1" applyFill="1" applyBorder="1" applyAlignment="1" applyProtection="1">
      <alignment horizontal="center" vertical="center" wrapText="1"/>
      <protection locked="0"/>
    </xf>
    <xf numFmtId="0" fontId="2" fillId="6" borderId="200" xfId="0" applyFont="1" applyFill="1" applyBorder="1" applyAlignment="1" applyProtection="1">
      <alignment horizontal="center" vertical="center" wrapText="1"/>
      <protection locked="0"/>
    </xf>
    <xf numFmtId="0" fontId="17" fillId="9" borderId="0" xfId="0" applyFont="1" applyFill="1" applyAlignment="1" applyProtection="1">
      <alignment horizontal="center" vertical="center"/>
      <protection hidden="1"/>
    </xf>
    <xf numFmtId="49" fontId="27" fillId="6" borderId="445" xfId="0" applyNumberFormat="1" applyFont="1" applyFill="1" applyBorder="1" applyAlignment="1" applyProtection="1">
      <alignment horizontal="center" vertical="center"/>
      <protection locked="0"/>
    </xf>
    <xf numFmtId="49" fontId="27" fillId="6" borderId="446" xfId="0" applyNumberFormat="1" applyFont="1" applyFill="1" applyBorder="1" applyAlignment="1" applyProtection="1">
      <alignment horizontal="center" vertical="center"/>
      <protection locked="0"/>
    </xf>
    <xf numFmtId="49" fontId="27" fillId="6" borderId="447" xfId="0" applyNumberFormat="1" applyFont="1" applyFill="1" applyBorder="1" applyAlignment="1" applyProtection="1">
      <alignment horizontal="center" vertical="center"/>
      <protection locked="0"/>
    </xf>
    <xf numFmtId="0" fontId="27" fillId="10" borderId="358" xfId="0" applyFont="1" applyFill="1" applyBorder="1" applyAlignment="1" applyProtection="1">
      <alignment horizontal="center" vertical="center"/>
      <protection hidden="1"/>
    </xf>
    <xf numFmtId="0" fontId="27" fillId="10" borderId="428" xfId="0" applyFont="1" applyFill="1" applyBorder="1" applyAlignment="1" applyProtection="1">
      <alignment horizontal="center" vertical="center"/>
      <protection hidden="1"/>
    </xf>
    <xf numFmtId="0" fontId="27" fillId="10" borderId="253" xfId="0" applyFont="1" applyFill="1" applyBorder="1" applyAlignment="1" applyProtection="1">
      <alignment horizontal="center" vertical="center"/>
      <protection hidden="1"/>
    </xf>
    <xf numFmtId="0" fontId="27" fillId="10" borderId="456" xfId="0" applyFont="1" applyFill="1" applyBorder="1" applyAlignment="1" applyProtection="1">
      <alignment horizontal="center" vertical="center"/>
      <protection hidden="1"/>
    </xf>
    <xf numFmtId="0" fontId="27" fillId="10" borderId="457" xfId="0" applyFont="1" applyFill="1" applyBorder="1" applyAlignment="1" applyProtection="1">
      <alignment horizontal="center" vertical="center"/>
      <protection hidden="1"/>
    </xf>
    <xf numFmtId="0" fontId="27" fillId="10" borderId="458" xfId="0" applyFont="1" applyFill="1" applyBorder="1" applyAlignment="1" applyProtection="1">
      <alignment horizontal="center" vertical="center"/>
      <protection hidden="1"/>
    </xf>
    <xf numFmtId="0" fontId="27" fillId="10" borderId="453" xfId="0" applyFont="1" applyFill="1" applyBorder="1" applyAlignment="1" applyProtection="1">
      <alignment horizontal="center" vertical="center"/>
      <protection hidden="1"/>
    </xf>
    <xf numFmtId="0" fontId="27" fillId="10" borderId="454" xfId="0" applyFont="1" applyFill="1" applyBorder="1" applyAlignment="1" applyProtection="1">
      <alignment horizontal="center" vertical="center"/>
      <protection hidden="1"/>
    </xf>
    <xf numFmtId="0" fontId="27" fillId="10" borderId="455" xfId="0" applyFont="1" applyFill="1" applyBorder="1" applyAlignment="1" applyProtection="1">
      <alignment horizontal="center" vertical="center"/>
      <protection hidden="1"/>
    </xf>
    <xf numFmtId="49" fontId="27" fillId="6" borderId="459" xfId="0" applyNumberFormat="1" applyFont="1" applyFill="1" applyBorder="1" applyAlignment="1" applyProtection="1">
      <alignment horizontal="center" vertical="center"/>
      <protection locked="0"/>
    </xf>
    <xf numFmtId="49" fontId="27" fillId="6" borderId="460" xfId="0" applyNumberFormat="1" applyFont="1" applyFill="1" applyBorder="1" applyAlignment="1" applyProtection="1">
      <alignment horizontal="center" vertical="center"/>
      <protection locked="0"/>
    </xf>
    <xf numFmtId="49" fontId="27" fillId="6" borderId="461" xfId="0" applyNumberFormat="1" applyFont="1" applyFill="1" applyBorder="1" applyAlignment="1" applyProtection="1">
      <alignment horizontal="center" vertical="center"/>
      <protection locked="0"/>
    </xf>
    <xf numFmtId="49" fontId="27" fillId="6" borderId="443" xfId="0" applyNumberFormat="1" applyFont="1" applyFill="1" applyBorder="1" applyAlignment="1" applyProtection="1">
      <alignment horizontal="center" vertical="center"/>
      <protection locked="0"/>
    </xf>
    <xf numFmtId="49" fontId="27" fillId="6" borderId="444" xfId="0" applyNumberFormat="1" applyFont="1" applyFill="1" applyBorder="1" applyAlignment="1" applyProtection="1">
      <alignment horizontal="center" vertical="center"/>
      <protection locked="0"/>
    </xf>
    <xf numFmtId="0" fontId="0" fillId="7" borderId="191" xfId="0" applyFill="1" applyBorder="1" applyAlignment="1" applyProtection="1">
      <alignment horizontal="center" vertical="center"/>
      <protection locked="0" hidden="1"/>
    </xf>
    <xf numFmtId="0" fontId="0" fillId="7" borderId="193" xfId="0" applyFill="1" applyBorder="1" applyAlignment="1" applyProtection="1">
      <alignment horizontal="center" vertical="center"/>
      <protection locked="0" hidden="1"/>
    </xf>
    <xf numFmtId="164" fontId="0" fillId="6" borderId="190" xfId="0" applyNumberFormat="1" applyFill="1" applyBorder="1" applyAlignment="1" applyProtection="1">
      <alignment horizontal="center" vertical="center"/>
      <protection locked="0" hidden="1"/>
    </xf>
    <xf numFmtId="164" fontId="0" fillId="6" borderId="16" xfId="0" applyNumberFormat="1" applyFill="1" applyBorder="1" applyAlignment="1" applyProtection="1">
      <alignment horizontal="center" vertical="center"/>
      <protection locked="0" hidden="1"/>
    </xf>
    <xf numFmtId="0" fontId="46" fillId="3" borderId="91" xfId="0" applyFont="1" applyFill="1" applyBorder="1" applyAlignment="1" applyProtection="1">
      <alignment horizontal="right" vertical="top" indent="1"/>
      <protection hidden="1"/>
    </xf>
    <xf numFmtId="0" fontId="3" fillId="3" borderId="91" xfId="0" applyFont="1" applyFill="1" applyBorder="1" applyAlignment="1" applyProtection="1">
      <alignment horizontal="right" vertical="top" indent="1"/>
      <protection hidden="1"/>
    </xf>
    <xf numFmtId="0" fontId="0" fillId="7" borderId="192" xfId="0" applyFill="1" applyBorder="1" applyAlignment="1" applyProtection="1">
      <alignment horizontal="center" vertical="center"/>
      <protection locked="0" hidden="1"/>
    </xf>
    <xf numFmtId="0" fontId="0" fillId="6" borderId="190" xfId="0" applyFill="1" applyBorder="1" applyAlignment="1" applyProtection="1">
      <alignment horizontal="center" vertical="center"/>
      <protection locked="0" hidden="1"/>
    </xf>
    <xf numFmtId="0" fontId="0" fillId="6" borderId="16" xfId="0" applyFill="1" applyBorder="1" applyAlignment="1" applyProtection="1">
      <alignment horizontal="center" vertical="center"/>
      <protection locked="0" hidden="1"/>
    </xf>
    <xf numFmtId="167" fontId="0" fillId="6" borderId="190" xfId="0" applyNumberFormat="1" applyFill="1" applyBorder="1" applyAlignment="1" applyProtection="1">
      <alignment horizontal="center" vertical="center"/>
      <protection locked="0" hidden="1"/>
    </xf>
    <xf numFmtId="167" fontId="0" fillId="6" borderId="16" xfId="0" applyNumberFormat="1" applyFill="1" applyBorder="1" applyAlignment="1" applyProtection="1">
      <alignment horizontal="center" vertical="center"/>
      <protection locked="0" hidden="1"/>
    </xf>
    <xf numFmtId="0" fontId="49" fillId="3" borderId="0" xfId="0" applyFont="1" applyFill="1" applyAlignment="1" applyProtection="1">
      <alignment horizontal="left" vertical="top" wrapText="1"/>
      <protection hidden="1"/>
    </xf>
    <xf numFmtId="0" fontId="49" fillId="3" borderId="0" xfId="0" applyFont="1" applyFill="1" applyAlignment="1" applyProtection="1">
      <alignment horizontal="left" vertical="top"/>
      <protection hidden="1"/>
    </xf>
    <xf numFmtId="0" fontId="49" fillId="3" borderId="5" xfId="0" applyFont="1" applyFill="1" applyBorder="1" applyAlignment="1" applyProtection="1">
      <alignment horizontal="left" vertical="top"/>
      <protection hidden="1"/>
    </xf>
    <xf numFmtId="0" fontId="95" fillId="0" borderId="195" xfId="0" applyFont="1" applyBorder="1" applyAlignment="1" applyProtection="1">
      <alignment horizontal="center" vertical="center" wrapText="1"/>
      <protection hidden="1"/>
    </xf>
    <xf numFmtId="0" fontId="95" fillId="0" borderId="196" xfId="0" applyFont="1" applyBorder="1" applyAlignment="1" applyProtection="1">
      <alignment horizontal="center" vertical="center" wrapText="1"/>
      <protection hidden="1"/>
    </xf>
    <xf numFmtId="0" fontId="95" fillId="0" borderId="211" xfId="0" applyFont="1" applyBorder="1" applyAlignment="1" applyProtection="1">
      <alignment horizontal="center" vertical="center" wrapText="1"/>
      <protection hidden="1"/>
    </xf>
    <xf numFmtId="0" fontId="86" fillId="13" borderId="403" xfId="0" applyFont="1" applyFill="1" applyBorder="1" applyAlignment="1" applyProtection="1">
      <alignment horizontal="center" vertical="center" wrapText="1"/>
      <protection hidden="1"/>
    </xf>
    <xf numFmtId="0" fontId="86" fillId="13" borderId="132" xfId="0" applyFont="1" applyFill="1" applyBorder="1" applyAlignment="1" applyProtection="1">
      <alignment horizontal="center" vertical="center" wrapText="1"/>
      <protection hidden="1"/>
    </xf>
    <xf numFmtId="164" fontId="4" fillId="13" borderId="425" xfId="0" quotePrefix="1" applyNumberFormat="1" applyFont="1" applyFill="1" applyBorder="1" applyAlignment="1" applyProtection="1">
      <alignment horizontal="center" vertical="center" wrapText="1"/>
      <protection hidden="1"/>
    </xf>
    <xf numFmtId="164" fontId="4" fillId="13" borderId="132" xfId="0" applyNumberFormat="1" applyFont="1" applyFill="1" applyBorder="1" applyAlignment="1" applyProtection="1">
      <alignment horizontal="center" vertical="center" wrapText="1"/>
      <protection hidden="1"/>
    </xf>
    <xf numFmtId="164" fontId="4" fillId="13" borderId="425" xfId="0" applyNumberFormat="1" applyFont="1" applyFill="1" applyBorder="1" applyAlignment="1" applyProtection="1">
      <alignment horizontal="center" vertical="center" wrapText="1"/>
      <protection hidden="1"/>
    </xf>
    <xf numFmtId="166" fontId="55" fillId="6" borderId="190" xfId="0" applyNumberFormat="1" applyFont="1" applyFill="1" applyBorder="1" applyAlignment="1" applyProtection="1">
      <alignment horizontal="center" vertical="center"/>
      <protection locked="0" hidden="1"/>
    </xf>
    <xf numFmtId="166" fontId="55" fillId="6" borderId="16" xfId="0" applyNumberFormat="1" applyFont="1" applyFill="1" applyBorder="1" applyAlignment="1" applyProtection="1">
      <alignment horizontal="center" vertical="center"/>
      <protection locked="0" hidden="1"/>
    </xf>
    <xf numFmtId="0" fontId="17" fillId="9" borderId="0" xfId="0" applyFont="1" applyFill="1" applyAlignment="1" applyProtection="1">
      <alignment horizontal="right" vertical="center" wrapText="1" indent="1"/>
      <protection hidden="1"/>
    </xf>
    <xf numFmtId="0" fontId="0" fillId="9" borderId="0" xfId="0" applyFill="1" applyAlignment="1" applyProtection="1">
      <alignment horizontal="left" vertical="center" indent="1"/>
      <protection hidden="1"/>
    </xf>
    <xf numFmtId="0" fontId="0" fillId="9" borderId="73" xfId="0" applyFill="1" applyBorder="1" applyAlignment="1" applyProtection="1">
      <alignment horizontal="left" vertical="center" indent="1"/>
      <protection hidden="1"/>
    </xf>
    <xf numFmtId="0" fontId="0" fillId="9" borderId="94" xfId="0" applyFill="1" applyBorder="1" applyAlignment="1" applyProtection="1">
      <alignment horizontal="center" vertical="center"/>
      <protection hidden="1"/>
    </xf>
    <xf numFmtId="0" fontId="0" fillId="9" borderId="96" xfId="0" applyFill="1" applyBorder="1" applyAlignment="1" applyProtection="1">
      <alignment horizontal="center" vertical="center"/>
      <protection hidden="1"/>
    </xf>
    <xf numFmtId="0" fontId="0" fillId="9" borderId="97" xfId="0" applyFill="1" applyBorder="1" applyAlignment="1" applyProtection="1">
      <alignment horizontal="center" vertical="center"/>
      <protection hidden="1"/>
    </xf>
    <xf numFmtId="0" fontId="0" fillId="9" borderId="98" xfId="0" applyFill="1" applyBorder="1" applyAlignment="1" applyProtection="1">
      <alignment horizontal="center" vertical="center"/>
      <protection hidden="1"/>
    </xf>
    <xf numFmtId="0" fontId="0" fillId="9" borderId="100" xfId="0" applyFill="1" applyBorder="1" applyAlignment="1" applyProtection="1">
      <alignment horizontal="center" vertical="center"/>
      <protection hidden="1"/>
    </xf>
    <xf numFmtId="164" fontId="0" fillId="9" borderId="0" xfId="0" applyNumberFormat="1" applyFill="1" applyAlignment="1" applyProtection="1">
      <alignment horizontal="center" vertical="center"/>
      <protection hidden="1"/>
    </xf>
    <xf numFmtId="0" fontId="0" fillId="9" borderId="96" xfId="0" applyFill="1" applyBorder="1" applyAlignment="1" applyProtection="1">
      <alignment horizontal="left" vertical="center" indent="1"/>
      <protection hidden="1"/>
    </xf>
    <xf numFmtId="0" fontId="0" fillId="9" borderId="95" xfId="0" applyFill="1" applyBorder="1" applyAlignment="1" applyProtection="1">
      <alignment horizontal="left" vertical="center" indent="1"/>
      <protection hidden="1"/>
    </xf>
    <xf numFmtId="0" fontId="0" fillId="10" borderId="94" xfId="0" applyFill="1" applyBorder="1" applyAlignment="1" applyProtection="1">
      <alignment horizontal="center" vertical="center"/>
      <protection hidden="1"/>
    </xf>
    <xf numFmtId="0" fontId="0" fillId="10" borderId="96" xfId="0" applyFill="1" applyBorder="1" applyAlignment="1" applyProtection="1">
      <alignment horizontal="center" vertical="center"/>
      <protection hidden="1"/>
    </xf>
    <xf numFmtId="0" fontId="0" fillId="10" borderId="97" xfId="0" applyFill="1" applyBorder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horizontal="center" vertical="center"/>
      <protection hidden="1"/>
    </xf>
    <xf numFmtId="0" fontId="0" fillId="10" borderId="98" xfId="0" applyFill="1" applyBorder="1" applyAlignment="1" applyProtection="1">
      <alignment horizontal="center" vertical="center"/>
      <protection hidden="1"/>
    </xf>
    <xf numFmtId="0" fontId="0" fillId="10" borderId="100" xfId="0" applyFill="1" applyBorder="1" applyAlignment="1" applyProtection="1">
      <alignment horizontal="center" vertical="center"/>
      <protection hidden="1"/>
    </xf>
    <xf numFmtId="0" fontId="0" fillId="10" borderId="100" xfId="0" applyFill="1" applyBorder="1" applyAlignment="1" applyProtection="1">
      <alignment horizontal="left" vertical="center" indent="1"/>
      <protection hidden="1"/>
    </xf>
    <xf numFmtId="0" fontId="37" fillId="3" borderId="410" xfId="0" applyFont="1" applyFill="1" applyBorder="1" applyAlignment="1" applyProtection="1">
      <alignment horizontal="left" vertical="center" wrapText="1" indent="3"/>
      <protection hidden="1"/>
    </xf>
    <xf numFmtId="0" fontId="37" fillId="3" borderId="404" xfId="0" applyFont="1" applyFill="1" applyBorder="1" applyAlignment="1" applyProtection="1">
      <alignment horizontal="left" vertical="center" wrapText="1" indent="3"/>
      <protection hidden="1"/>
    </xf>
    <xf numFmtId="0" fontId="37" fillId="3" borderId="91" xfId="0" applyFont="1" applyFill="1" applyBorder="1" applyAlignment="1" applyProtection="1">
      <alignment horizontal="left" vertical="center" wrapText="1" indent="3"/>
      <protection hidden="1"/>
    </xf>
    <xf numFmtId="0" fontId="37" fillId="3" borderId="73" xfId="0" applyFont="1" applyFill="1" applyBorder="1" applyAlignment="1" applyProtection="1">
      <alignment horizontal="left" vertical="center" wrapText="1" indent="3"/>
      <protection hidden="1"/>
    </xf>
    <xf numFmtId="0" fontId="37" fillId="3" borderId="231" xfId="0" applyFont="1" applyFill="1" applyBorder="1" applyAlignment="1" applyProtection="1">
      <alignment horizontal="left" vertical="center" wrapText="1" indent="3"/>
      <protection hidden="1"/>
    </xf>
    <xf numFmtId="0" fontId="37" fillId="3" borderId="207" xfId="0" applyFont="1" applyFill="1" applyBorder="1" applyAlignment="1" applyProtection="1">
      <alignment horizontal="left" vertical="center" wrapText="1" indent="3"/>
      <protection hidden="1"/>
    </xf>
    <xf numFmtId="0" fontId="0" fillId="3" borderId="130" xfId="0" applyFill="1" applyBorder="1" applyAlignment="1" applyProtection="1">
      <alignment horizontal="center" vertical="center" wrapText="1"/>
      <protection hidden="1"/>
    </xf>
    <xf numFmtId="0" fontId="0" fillId="3" borderId="404" xfId="0" applyFill="1" applyBorder="1" applyAlignment="1" applyProtection="1">
      <alignment horizontal="center" vertical="center" wrapText="1"/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0" fillId="3" borderId="73" xfId="0" applyFill="1" applyBorder="1" applyAlignment="1" applyProtection="1">
      <alignment horizontal="center" vertical="center" wrapText="1"/>
      <protection hidden="1"/>
    </xf>
    <xf numFmtId="0" fontId="0" fillId="3" borderId="403" xfId="0" applyFill="1" applyBorder="1" applyAlignment="1" applyProtection="1">
      <alignment horizontal="center" vertical="center" wrapText="1"/>
      <protection hidden="1"/>
    </xf>
    <xf numFmtId="0" fontId="0" fillId="3" borderId="207" xfId="0" applyFill="1" applyBorder="1" applyAlignment="1" applyProtection="1">
      <alignment horizontal="center" vertical="center" wrapText="1"/>
      <protection hidden="1"/>
    </xf>
    <xf numFmtId="0" fontId="99" fillId="3" borderId="226" xfId="0" applyFont="1" applyFill="1" applyBorder="1" applyAlignment="1" applyProtection="1">
      <alignment vertical="center" wrapText="1"/>
      <protection hidden="1"/>
    </xf>
    <xf numFmtId="0" fontId="99" fillId="3" borderId="227" xfId="0" applyFont="1" applyFill="1" applyBorder="1" applyAlignment="1" applyProtection="1">
      <alignment vertical="center" wrapText="1"/>
      <protection hidden="1"/>
    </xf>
    <xf numFmtId="0" fontId="99" fillId="3" borderId="409" xfId="0" applyFont="1" applyFill="1" applyBorder="1" applyAlignment="1" applyProtection="1">
      <alignment vertical="center" wrapText="1"/>
      <protection hidden="1"/>
    </xf>
    <xf numFmtId="0" fontId="99" fillId="3" borderId="209" xfId="0" applyFont="1" applyFill="1" applyBorder="1" applyAlignment="1" applyProtection="1">
      <alignment vertical="center" wrapText="1"/>
      <protection hidden="1"/>
    </xf>
    <xf numFmtId="0" fontId="99" fillId="3" borderId="220" xfId="0" applyFont="1" applyFill="1" applyBorder="1" applyAlignment="1" applyProtection="1">
      <alignment vertical="center" wrapText="1"/>
      <protection hidden="1"/>
    </xf>
    <xf numFmtId="0" fontId="99" fillId="3" borderId="258" xfId="0" applyFont="1" applyFill="1" applyBorder="1" applyAlignment="1" applyProtection="1">
      <alignment vertical="center" wrapText="1"/>
      <protection hidden="1"/>
    </xf>
    <xf numFmtId="0" fontId="0" fillId="3" borderId="405" xfId="0" applyFill="1" applyBorder="1" applyAlignment="1" applyProtection="1">
      <alignment horizontal="center" vertical="center" wrapText="1"/>
      <protection hidden="1"/>
    </xf>
    <xf numFmtId="0" fontId="0" fillId="3" borderId="253" xfId="0" applyFill="1" applyBorder="1" applyAlignment="1" applyProtection="1">
      <alignment horizontal="center" vertical="center" wrapText="1"/>
      <protection hidden="1"/>
    </xf>
    <xf numFmtId="0" fontId="0" fillId="3" borderId="406" xfId="0" applyFill="1" applyBorder="1" applyAlignment="1" applyProtection="1">
      <alignment horizontal="center" vertical="center" wrapText="1"/>
      <protection hidden="1"/>
    </xf>
    <xf numFmtId="0" fontId="0" fillId="3" borderId="226" xfId="0" applyFill="1" applyBorder="1" applyAlignment="1" applyProtection="1">
      <alignment vertical="center" wrapText="1"/>
      <protection hidden="1"/>
    </xf>
    <xf numFmtId="0" fontId="0" fillId="3" borderId="227" xfId="0" applyFill="1" applyBorder="1" applyAlignment="1" applyProtection="1">
      <alignment vertical="center" wrapText="1"/>
      <protection hidden="1"/>
    </xf>
    <xf numFmtId="0" fontId="0" fillId="3" borderId="409" xfId="0" applyFill="1" applyBorder="1" applyAlignment="1" applyProtection="1">
      <alignment vertical="center" wrapText="1"/>
      <protection hidden="1"/>
    </xf>
    <xf numFmtId="0" fontId="0" fillId="3" borderId="133" xfId="0" applyFill="1" applyBorder="1" applyAlignment="1" applyProtection="1">
      <alignment vertical="center" wrapText="1"/>
      <protection hidden="1"/>
    </xf>
    <xf numFmtId="0" fontId="0" fillId="3" borderId="208" xfId="0" applyFill="1" applyBorder="1" applyAlignment="1" applyProtection="1">
      <alignment vertical="center" wrapText="1"/>
      <protection hidden="1"/>
    </xf>
    <xf numFmtId="0" fontId="35" fillId="2" borderId="0" xfId="0" applyFont="1" applyFill="1" applyAlignment="1" applyProtection="1">
      <alignment horizontal="center" vertical="center"/>
      <protection hidden="1"/>
    </xf>
    <xf numFmtId="164" fontId="55" fillId="6" borderId="190" xfId="0" applyNumberFormat="1" applyFont="1" applyFill="1" applyBorder="1" applyAlignment="1" applyProtection="1">
      <alignment horizontal="center" vertical="center"/>
      <protection locked="0" hidden="1"/>
    </xf>
    <xf numFmtId="164" fontId="55" fillId="6" borderId="16" xfId="0" applyNumberFormat="1" applyFont="1" applyFill="1" applyBorder="1" applyAlignment="1" applyProtection="1">
      <alignment horizontal="center" vertical="center"/>
      <protection locked="0" hidden="1"/>
    </xf>
    <xf numFmtId="0" fontId="17" fillId="9" borderId="130" xfId="0" applyFont="1" applyFill="1" applyBorder="1" applyAlignment="1" applyProtection="1">
      <alignment horizontal="right" vertical="center" wrapText="1" indent="1"/>
      <protection hidden="1"/>
    </xf>
    <xf numFmtId="169" fontId="55" fillId="6" borderId="190" xfId="0" applyNumberFormat="1" applyFont="1" applyFill="1" applyBorder="1" applyAlignment="1" applyProtection="1">
      <alignment horizontal="center" vertical="center" wrapText="1"/>
      <protection locked="0" hidden="1"/>
    </xf>
    <xf numFmtId="169" fontId="55" fillId="6" borderId="16" xfId="0" applyNumberFormat="1" applyFont="1" applyFill="1" applyBorder="1" applyAlignment="1" applyProtection="1">
      <alignment horizontal="center" vertical="center" wrapText="1"/>
      <protection locked="0" hidden="1"/>
    </xf>
    <xf numFmtId="0" fontId="37" fillId="3" borderId="0" xfId="0" applyFont="1" applyFill="1" applyAlignment="1" applyProtection="1">
      <alignment horizontal="left" wrapText="1"/>
      <protection locked="0" hidden="1"/>
    </xf>
    <xf numFmtId="0" fontId="17" fillId="3" borderId="72" xfId="0" applyFont="1" applyFill="1" applyBorder="1" applyAlignment="1" applyProtection="1">
      <alignment horizontal="left" vertical="top" wrapText="1" indent="1"/>
      <protection hidden="1"/>
    </xf>
    <xf numFmtId="0" fontId="17" fillId="3" borderId="212" xfId="0" applyFont="1" applyFill="1" applyBorder="1" applyAlignment="1" applyProtection="1">
      <alignment horizontal="left" vertical="top" wrapText="1" indent="1"/>
      <protection hidden="1"/>
    </xf>
    <xf numFmtId="0" fontId="17" fillId="3" borderId="213" xfId="0" applyFont="1" applyFill="1" applyBorder="1" applyAlignment="1" applyProtection="1">
      <alignment horizontal="left" vertical="top" wrapText="1" indent="1"/>
      <protection hidden="1"/>
    </xf>
    <xf numFmtId="0" fontId="17" fillId="3" borderId="211" xfId="0" applyFont="1" applyFill="1" applyBorder="1" applyAlignment="1" applyProtection="1">
      <alignment horizontal="left" vertical="top" wrapText="1" indent="1"/>
      <protection hidden="1"/>
    </xf>
    <xf numFmtId="0" fontId="17" fillId="3" borderId="210" xfId="0" applyFont="1" applyFill="1" applyBorder="1" applyAlignment="1" applyProtection="1">
      <alignment horizontal="left" vertical="top" wrapText="1" indent="1"/>
      <protection hidden="1"/>
    </xf>
    <xf numFmtId="0" fontId="17" fillId="3" borderId="195" xfId="0" applyFont="1" applyFill="1" applyBorder="1" applyAlignment="1" applyProtection="1">
      <alignment horizontal="left" vertical="top" wrapText="1" indent="1"/>
      <protection hidden="1"/>
    </xf>
    <xf numFmtId="0" fontId="17" fillId="3" borderId="214" xfId="0" applyFont="1" applyFill="1" applyBorder="1" applyAlignment="1" applyProtection="1">
      <alignment horizontal="left" vertical="top" wrapText="1" indent="1"/>
      <protection hidden="1"/>
    </xf>
    <xf numFmtId="0" fontId="17" fillId="3" borderId="215" xfId="0" applyFont="1" applyFill="1" applyBorder="1" applyAlignment="1" applyProtection="1">
      <alignment horizontal="left" vertical="top" wrapText="1" indent="1"/>
      <protection hidden="1"/>
    </xf>
    <xf numFmtId="0" fontId="17" fillId="3" borderId="216" xfId="0" applyFont="1" applyFill="1" applyBorder="1" applyAlignment="1" applyProtection="1">
      <alignment horizontal="left" vertical="top" wrapText="1" indent="1"/>
      <protection hidden="1"/>
    </xf>
    <xf numFmtId="0" fontId="0" fillId="3" borderId="229" xfId="0" applyFill="1" applyBorder="1" applyAlignment="1" applyProtection="1">
      <alignment vertical="center" wrapText="1"/>
      <protection hidden="1"/>
    </xf>
    <xf numFmtId="0" fontId="0" fillId="3" borderId="404" xfId="0" applyFill="1" applyBorder="1" applyAlignment="1" applyProtection="1">
      <alignment vertical="center" wrapText="1"/>
      <protection hidden="1"/>
    </xf>
    <xf numFmtId="0" fontId="0" fillId="3" borderId="407" xfId="0" applyFill="1" applyBorder="1" applyAlignment="1" applyProtection="1">
      <alignment vertical="center" wrapText="1"/>
      <protection hidden="1"/>
    </xf>
    <xf numFmtId="0" fontId="0" fillId="3" borderId="408" xfId="0" applyFill="1" applyBorder="1" applyAlignment="1" applyProtection="1">
      <alignment vertical="center" wrapText="1"/>
      <protection hidden="1"/>
    </xf>
    <xf numFmtId="0" fontId="0" fillId="3" borderId="80" xfId="0" applyFill="1" applyBorder="1" applyAlignment="1" applyProtection="1">
      <alignment vertical="center" wrapText="1"/>
      <protection hidden="1"/>
    </xf>
    <xf numFmtId="0" fontId="0" fillId="3" borderId="218" xfId="0" applyFill="1" applyBorder="1" applyAlignment="1" applyProtection="1">
      <alignment vertical="center" wrapText="1"/>
      <protection hidden="1"/>
    </xf>
    <xf numFmtId="0" fontId="0" fillId="3" borderId="278" xfId="0" applyFill="1" applyBorder="1" applyAlignment="1" applyProtection="1">
      <alignment vertical="center" wrapText="1"/>
      <protection hidden="1"/>
    </xf>
    <xf numFmtId="0" fontId="0" fillId="3" borderId="209" xfId="0" applyFill="1" applyBorder="1" applyAlignment="1" applyProtection="1">
      <alignment vertical="center" wrapText="1"/>
      <protection hidden="1"/>
    </xf>
    <xf numFmtId="0" fontId="0" fillId="3" borderId="220" xfId="0" applyFill="1" applyBorder="1" applyAlignment="1" applyProtection="1">
      <alignment vertical="center" wrapText="1"/>
      <protection hidden="1"/>
    </xf>
    <xf numFmtId="0" fontId="0" fillId="3" borderId="258" xfId="0" applyFill="1" applyBorder="1" applyAlignment="1" applyProtection="1">
      <alignment vertical="center" wrapText="1"/>
      <protection hidden="1"/>
    </xf>
    <xf numFmtId="0" fontId="0" fillId="3" borderId="79" xfId="0" applyFill="1" applyBorder="1" applyAlignment="1" applyProtection="1">
      <alignment vertical="center" wrapText="1"/>
      <protection hidden="1"/>
    </xf>
    <xf numFmtId="0" fontId="0" fillId="3" borderId="223" xfId="0" applyFill="1" applyBorder="1" applyAlignment="1" applyProtection="1">
      <alignment vertical="center" wrapText="1"/>
      <protection hidden="1"/>
    </xf>
    <xf numFmtId="0" fontId="0" fillId="3" borderId="224" xfId="0" applyFill="1" applyBorder="1" applyAlignment="1" applyProtection="1">
      <alignment vertical="center" wrapText="1"/>
      <protection hidden="1"/>
    </xf>
    <xf numFmtId="0" fontId="0" fillId="3" borderId="221" xfId="0" applyFill="1" applyBorder="1" applyAlignment="1" applyProtection="1">
      <alignment vertical="center" wrapText="1"/>
      <protection hidden="1"/>
    </xf>
    <xf numFmtId="0" fontId="0" fillId="3" borderId="73" xfId="0" applyFill="1" applyBorder="1" applyAlignment="1" applyProtection="1">
      <alignment vertical="center" wrapText="1"/>
      <protection hidden="1"/>
    </xf>
    <xf numFmtId="0" fontId="0" fillId="3" borderId="217" xfId="0" applyFill="1" applyBorder="1" applyAlignment="1" applyProtection="1">
      <alignment vertical="center" wrapText="1"/>
      <protection hidden="1"/>
    </xf>
    <xf numFmtId="0" fontId="0" fillId="3" borderId="91" xfId="0" applyFill="1" applyBorder="1" applyAlignment="1" applyProtection="1">
      <alignment vertical="center" wrapText="1"/>
      <protection hidden="1"/>
    </xf>
    <xf numFmtId="0" fontId="0" fillId="3" borderId="82" xfId="0" applyFill="1" applyBorder="1" applyAlignment="1" applyProtection="1">
      <alignment vertical="center" wrapText="1"/>
      <protection hidden="1"/>
    </xf>
    <xf numFmtId="0" fontId="4" fillId="3" borderId="131" xfId="0" applyFont="1" applyFill="1" applyBorder="1" applyAlignment="1" applyProtection="1">
      <alignment horizontal="center" vertical="center" wrapText="1"/>
      <protection hidden="1"/>
    </xf>
    <xf numFmtId="0" fontId="17" fillId="3" borderId="132" xfId="0" applyFont="1" applyFill="1" applyBorder="1" applyAlignment="1" applyProtection="1">
      <alignment horizontal="left" vertical="top" wrapText="1"/>
      <protection hidden="1"/>
    </xf>
    <xf numFmtId="0" fontId="17" fillId="3" borderId="131" xfId="0" applyFont="1" applyFill="1" applyBorder="1" applyAlignment="1" applyProtection="1">
      <alignment horizontal="left" vertical="top" wrapText="1"/>
      <protection hidden="1"/>
    </xf>
    <xf numFmtId="0" fontId="0" fillId="9" borderId="100" xfId="0" applyFill="1" applyBorder="1" applyAlignment="1" applyProtection="1">
      <alignment horizontal="left" vertical="center" indent="1"/>
      <protection hidden="1"/>
    </xf>
    <xf numFmtId="0" fontId="0" fillId="10" borderId="99" xfId="0" applyFill="1" applyBorder="1" applyAlignment="1" applyProtection="1">
      <alignment horizontal="left" vertical="center" indent="1"/>
      <protection hidden="1"/>
    </xf>
    <xf numFmtId="164" fontId="36" fillId="9" borderId="0" xfId="0" applyNumberFormat="1" applyFont="1" applyFill="1" applyAlignment="1" applyProtection="1">
      <alignment horizontal="center" vertical="center"/>
      <protection hidden="1"/>
    </xf>
    <xf numFmtId="164" fontId="2" fillId="9" borderId="0" xfId="0" applyNumberFormat="1" applyFont="1" applyFill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top"/>
      <protection hidden="1"/>
    </xf>
    <xf numFmtId="0" fontId="0" fillId="9" borderId="10" xfId="0" applyFill="1" applyBorder="1" applyAlignment="1" applyProtection="1">
      <alignment horizontal="center" vertical="center"/>
      <protection hidden="1"/>
    </xf>
    <xf numFmtId="0" fontId="0" fillId="9" borderId="11" xfId="0" applyFill="1" applyBorder="1" applyAlignment="1" applyProtection="1">
      <alignment horizontal="center" vertical="center"/>
      <protection hidden="1"/>
    </xf>
    <xf numFmtId="166" fontId="4" fillId="10" borderId="189" xfId="0" applyNumberFormat="1" applyFont="1" applyFill="1" applyBorder="1" applyAlignment="1" applyProtection="1">
      <alignment horizontal="center" vertical="center" wrapText="1"/>
      <protection hidden="1"/>
    </xf>
    <xf numFmtId="166" fontId="4" fillId="10" borderId="135" xfId="0" applyNumberFormat="1" applyFont="1" applyFill="1" applyBorder="1" applyAlignment="1" applyProtection="1">
      <alignment horizontal="center" vertical="center" wrapText="1"/>
      <protection hidden="1"/>
    </xf>
    <xf numFmtId="164" fontId="50" fillId="18" borderId="0" xfId="0" applyNumberFormat="1" applyFont="1" applyFill="1" applyAlignment="1" applyProtection="1">
      <alignment horizontal="center" vertical="center"/>
      <protection hidden="1"/>
    </xf>
    <xf numFmtId="164" fontId="4" fillId="13" borderId="189" xfId="0" applyNumberFormat="1" applyFont="1" applyFill="1" applyBorder="1" applyAlignment="1" applyProtection="1">
      <alignment horizontal="center" vertical="center" wrapText="1"/>
      <protection hidden="1"/>
    </xf>
    <xf numFmtId="164" fontId="4" fillId="13" borderId="135" xfId="0" applyNumberFormat="1" applyFont="1" applyFill="1" applyBorder="1" applyAlignment="1" applyProtection="1">
      <alignment horizontal="center" vertical="center" wrapText="1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30" fillId="3" borderId="137" xfId="0" applyFont="1" applyFill="1" applyBorder="1" applyAlignment="1" applyProtection="1">
      <alignment horizontal="center" vertical="center"/>
      <protection hidden="1"/>
    </xf>
    <xf numFmtId="0" fontId="38" fillId="3" borderId="72" xfId="0" applyFont="1" applyFill="1" applyBorder="1" applyAlignment="1" applyProtection="1">
      <alignment horizontal="right" vertical="center" indent="1"/>
      <protection hidden="1"/>
    </xf>
    <xf numFmtId="0" fontId="38" fillId="3" borderId="212" xfId="0" applyFont="1" applyFill="1" applyBorder="1" applyAlignment="1" applyProtection="1">
      <alignment horizontal="right" vertical="center" indent="1"/>
      <protection hidden="1"/>
    </xf>
    <xf numFmtId="0" fontId="38" fillId="3" borderId="210" xfId="0" applyFont="1" applyFill="1" applyBorder="1" applyAlignment="1" applyProtection="1">
      <alignment horizontal="right" vertical="center" indent="1"/>
      <protection hidden="1"/>
    </xf>
    <xf numFmtId="0" fontId="65" fillId="15" borderId="211" xfId="0" applyFont="1" applyFill="1" applyBorder="1" applyAlignment="1" applyProtection="1">
      <alignment horizontal="right" vertical="center" indent="1"/>
      <protection hidden="1"/>
    </xf>
    <xf numFmtId="0" fontId="65" fillId="15" borderId="210" xfId="0" applyFont="1" applyFill="1" applyBorder="1" applyAlignment="1" applyProtection="1">
      <alignment horizontal="right" vertical="center" indent="1"/>
      <protection hidden="1"/>
    </xf>
    <xf numFmtId="0" fontId="38" fillId="3" borderId="232" xfId="0" applyFont="1" applyFill="1" applyBorder="1" applyAlignment="1" applyProtection="1">
      <alignment horizontal="right" vertical="center" indent="1"/>
      <protection hidden="1"/>
    </xf>
    <xf numFmtId="0" fontId="38" fillId="3" borderId="225" xfId="0" applyFont="1" applyFill="1" applyBorder="1" applyAlignment="1" applyProtection="1">
      <alignment horizontal="right" vertical="center" indent="1"/>
      <protection hidden="1"/>
    </xf>
    <xf numFmtId="0" fontId="37" fillId="3" borderId="0" xfId="0" applyFont="1" applyFill="1" applyAlignment="1" applyProtection="1">
      <alignment horizontal="left" wrapText="1"/>
      <protection hidden="1"/>
    </xf>
    <xf numFmtId="0" fontId="17" fillId="9" borderId="15" xfId="0" applyFont="1" applyFill="1" applyBorder="1" applyAlignment="1" applyProtection="1">
      <alignment horizontal="right" vertical="center" wrapText="1" indent="1"/>
      <protection hidden="1"/>
    </xf>
    <xf numFmtId="0" fontId="4" fillId="13" borderId="130" xfId="0" applyFont="1" applyFill="1" applyBorder="1" applyAlignment="1" applyProtection="1">
      <alignment horizontal="center" vertical="center" wrapText="1"/>
      <protection hidden="1"/>
    </xf>
    <xf numFmtId="0" fontId="4" fillId="13" borderId="135" xfId="0" applyFont="1" applyFill="1" applyBorder="1" applyAlignment="1" applyProtection="1">
      <alignment horizontal="center" vertical="center" wrapText="1"/>
      <protection hidden="1"/>
    </xf>
    <xf numFmtId="0" fontId="47" fillId="10" borderId="133" xfId="0" applyFont="1" applyFill="1" applyBorder="1" applyAlignment="1" applyProtection="1">
      <alignment horizontal="center" vertical="center" wrapText="1"/>
      <protection hidden="1"/>
    </xf>
    <xf numFmtId="0" fontId="47" fillId="10" borderId="129" xfId="0" applyFont="1" applyFill="1" applyBorder="1" applyAlignment="1" applyProtection="1">
      <alignment horizontal="center" vertical="center" wrapText="1"/>
      <protection hidden="1"/>
    </xf>
    <xf numFmtId="166" fontId="4" fillId="10" borderId="128" xfId="0" applyNumberFormat="1" applyFont="1" applyFill="1" applyBorder="1" applyAlignment="1" applyProtection="1">
      <alignment horizontal="center" vertical="center" wrapText="1"/>
      <protection hidden="1"/>
    </xf>
    <xf numFmtId="166" fontId="4" fillId="10" borderId="129" xfId="0" applyNumberFormat="1" applyFont="1" applyFill="1" applyBorder="1" applyAlignment="1" applyProtection="1">
      <alignment horizontal="center" vertical="center" wrapText="1"/>
      <protection hidden="1"/>
    </xf>
    <xf numFmtId="0" fontId="130" fillId="9" borderId="470" xfId="4" applyFont="1" applyFill="1" applyBorder="1" applyProtection="1">
      <alignment horizontal="left" vertical="center" indent="1"/>
      <protection hidden="1"/>
    </xf>
    <xf numFmtId="0" fontId="130" fillId="9" borderId="473" xfId="4" applyFont="1" applyFill="1" applyBorder="1" applyProtection="1">
      <alignment horizontal="left" vertical="center" indent="1"/>
      <protection hidden="1"/>
    </xf>
    <xf numFmtId="0" fontId="129" fillId="9" borderId="470" xfId="4" applyFont="1" applyFill="1" applyBorder="1" applyProtection="1">
      <alignment horizontal="left" vertical="center" indent="1"/>
      <protection hidden="1"/>
    </xf>
    <xf numFmtId="6" fontId="76" fillId="22" borderId="284" xfId="5" applyNumberFormat="1" applyFont="1" applyFill="1" applyBorder="1" applyProtection="1">
      <alignment horizontal="right" vertical="center" indent="1"/>
      <protection hidden="1"/>
    </xf>
    <xf numFmtId="6" fontId="76" fillId="22" borderId="214" xfId="5" applyNumberFormat="1" applyFont="1" applyFill="1" applyBorder="1" applyProtection="1">
      <alignment horizontal="right" vertical="center" indent="1"/>
      <protection hidden="1"/>
    </xf>
    <xf numFmtId="0" fontId="129" fillId="9" borderId="473" xfId="4" applyFont="1" applyFill="1" applyBorder="1" applyProtection="1">
      <alignment horizontal="left" vertical="center" indent="1"/>
      <protection hidden="1"/>
    </xf>
    <xf numFmtId="0" fontId="129" fillId="9" borderId="476" xfId="4" applyFont="1" applyFill="1" applyBorder="1" applyProtection="1">
      <alignment horizontal="left" vertical="center" indent="1"/>
      <protection hidden="1"/>
    </xf>
    <xf numFmtId="0" fontId="129" fillId="9" borderId="475" xfId="4" applyFont="1" applyFill="1" applyBorder="1" applyProtection="1">
      <alignment horizontal="left" vertical="center" indent="1"/>
      <protection hidden="1"/>
    </xf>
    <xf numFmtId="0" fontId="130" fillId="9" borderId="476" xfId="4" applyFont="1" applyFill="1" applyBorder="1" applyProtection="1">
      <alignment horizontal="left" vertical="center" indent="1"/>
      <protection hidden="1"/>
    </xf>
    <xf numFmtId="6" fontId="76" fillId="22" borderId="300" xfId="5" applyNumberFormat="1" applyFont="1" applyFill="1" applyBorder="1" applyProtection="1">
      <alignment horizontal="right" vertical="center" indent="1"/>
      <protection hidden="1"/>
    </xf>
    <xf numFmtId="6" fontId="76" fillId="22" borderId="80" xfId="5" applyNumberFormat="1" applyFont="1" applyFill="1" applyBorder="1" applyProtection="1">
      <alignment horizontal="right" vertical="center" indent="1"/>
      <protection hidden="1"/>
    </xf>
    <xf numFmtId="6" fontId="76" fillId="22" borderId="273" xfId="5" applyNumberFormat="1" applyFont="1" applyFill="1" applyBorder="1" applyProtection="1">
      <alignment horizontal="right" vertical="center" indent="1"/>
      <protection hidden="1"/>
    </xf>
    <xf numFmtId="6" fontId="76" fillId="22" borderId="79" xfId="5" applyNumberFormat="1" applyFont="1" applyFill="1" applyBorder="1" applyProtection="1">
      <alignment horizontal="right" vertical="center" indent="1"/>
      <protection hidden="1"/>
    </xf>
    <xf numFmtId="6" fontId="76" fillId="22" borderId="253" xfId="5" applyNumberFormat="1" applyFont="1" applyFill="1" applyBorder="1" applyProtection="1">
      <alignment horizontal="right" vertical="center" indent="1"/>
      <protection hidden="1"/>
    </xf>
    <xf numFmtId="6" fontId="76" fillId="22" borderId="73" xfId="5" applyNumberFormat="1" applyFont="1" applyFill="1" applyBorder="1" applyProtection="1">
      <alignment horizontal="right" vertical="center" indent="1"/>
      <protection hidden="1"/>
    </xf>
    <xf numFmtId="6" fontId="75" fillId="22" borderId="269" xfId="5" applyNumberFormat="1" applyFont="1" applyFill="1" applyBorder="1" applyProtection="1">
      <alignment horizontal="right" vertical="center" indent="1"/>
      <protection hidden="1"/>
    </xf>
    <xf numFmtId="6" fontId="75" fillId="22" borderId="219" xfId="5" applyNumberFormat="1" applyFont="1" applyFill="1" applyBorder="1" applyProtection="1">
      <alignment horizontal="right" vertical="center" indent="1"/>
      <protection hidden="1"/>
    </xf>
    <xf numFmtId="6" fontId="76" fillId="22" borderId="247" xfId="5" applyNumberFormat="1" applyFont="1" applyFill="1" applyBorder="1" applyProtection="1">
      <alignment horizontal="right" vertical="center" indent="1"/>
      <protection hidden="1"/>
    </xf>
    <xf numFmtId="6" fontId="76" fillId="22" borderId="251" xfId="5" applyNumberFormat="1" applyFont="1" applyFill="1" applyBorder="1" applyProtection="1">
      <alignment horizontal="right" vertical="center" indent="1"/>
      <protection hidden="1"/>
    </xf>
    <xf numFmtId="6" fontId="26" fillId="3" borderId="265" xfId="5" applyNumberFormat="1" applyFont="1" applyFill="1" applyBorder="1" applyProtection="1">
      <alignment horizontal="right" vertical="center" indent="1"/>
      <protection hidden="1"/>
    </xf>
    <xf numFmtId="6" fontId="26" fillId="3" borderId="246" xfId="5" applyNumberFormat="1" applyFont="1" applyFill="1" applyBorder="1" applyProtection="1">
      <alignment horizontal="right" vertical="center" indent="1"/>
      <protection hidden="1"/>
    </xf>
    <xf numFmtId="9" fontId="133" fillId="3" borderId="77" xfId="5" applyNumberFormat="1" applyFont="1" applyFill="1" applyBorder="1" applyAlignment="1" applyProtection="1">
      <alignment horizontal="center" vertical="center" wrapText="1"/>
      <protection hidden="1"/>
    </xf>
    <xf numFmtId="9" fontId="133" fillId="3" borderId="214" xfId="5" applyNumberFormat="1" applyFont="1" applyFill="1" applyBorder="1" applyAlignment="1" applyProtection="1">
      <alignment horizontal="center" vertical="center" wrapText="1"/>
      <protection hidden="1"/>
    </xf>
    <xf numFmtId="9" fontId="133" fillId="3" borderId="0" xfId="5" applyNumberFormat="1" applyFont="1" applyFill="1" applyBorder="1" applyAlignment="1" applyProtection="1">
      <alignment horizontal="center" vertical="center" wrapText="1"/>
      <protection hidden="1"/>
    </xf>
    <xf numFmtId="9" fontId="133" fillId="3" borderId="73" xfId="5" applyNumberFormat="1" applyFont="1" applyFill="1" applyBorder="1" applyAlignment="1" applyProtection="1">
      <alignment horizontal="center" vertical="center" wrapText="1"/>
      <protection hidden="1"/>
    </xf>
    <xf numFmtId="166" fontId="15" fillId="8" borderId="247" xfId="5" applyNumberFormat="1" applyFont="1" applyFill="1" applyBorder="1" applyProtection="1">
      <alignment horizontal="right" vertical="center" indent="1"/>
      <protection locked="0" hidden="1"/>
    </xf>
    <xf numFmtId="6" fontId="76" fillId="22" borderId="260" xfId="5" applyNumberFormat="1" applyFont="1" applyFill="1" applyBorder="1" applyProtection="1">
      <alignment horizontal="right" vertical="center" indent="1"/>
      <protection hidden="1"/>
    </xf>
    <xf numFmtId="6" fontId="76" fillId="22" borderId="270" xfId="5" applyNumberFormat="1" applyFont="1" applyFill="1" applyBorder="1" applyProtection="1">
      <alignment horizontal="right" vertical="center" indent="1"/>
      <protection hidden="1"/>
    </xf>
    <xf numFmtId="3" fontId="15" fillId="0" borderId="262" xfId="5" applyNumberFormat="1" applyFont="1" applyFill="1" applyBorder="1" applyProtection="1">
      <alignment horizontal="right" vertical="center" indent="1"/>
      <protection hidden="1"/>
    </xf>
    <xf numFmtId="3" fontId="15" fillId="0" borderId="260" xfId="5" applyNumberFormat="1" applyFont="1" applyFill="1" applyBorder="1" applyProtection="1">
      <alignment horizontal="right" vertical="center" indent="1"/>
      <protection hidden="1"/>
    </xf>
    <xf numFmtId="6" fontId="15" fillId="6" borderId="260" xfId="5" applyNumberFormat="1" applyFont="1" applyFill="1" applyBorder="1" applyProtection="1">
      <alignment horizontal="right" vertical="center" indent="1"/>
      <protection locked="0" hidden="1"/>
    </xf>
    <xf numFmtId="0" fontId="0" fillId="3" borderId="247" xfId="0" applyFill="1" applyBorder="1" applyAlignment="1" applyProtection="1">
      <alignment horizontal="left" vertical="center" indent="1"/>
      <protection hidden="1"/>
    </xf>
    <xf numFmtId="0" fontId="0" fillId="3" borderId="260" xfId="0" applyFill="1" applyBorder="1" applyAlignment="1" applyProtection="1">
      <alignment horizontal="left" vertical="center" indent="1"/>
      <protection hidden="1"/>
    </xf>
    <xf numFmtId="0" fontId="0" fillId="3" borderId="261" xfId="0" applyFill="1" applyBorder="1" applyAlignment="1" applyProtection="1">
      <alignment horizontal="left" vertical="center" indent="1"/>
      <protection hidden="1"/>
    </xf>
    <xf numFmtId="0" fontId="15" fillId="0" borderId="370" xfId="3" applyFont="1" applyBorder="1" applyAlignment="1" applyProtection="1">
      <alignment horizontal="center" vertical="center"/>
      <protection hidden="1"/>
    </xf>
    <xf numFmtId="0" fontId="15" fillId="0" borderId="289" xfId="3" applyFont="1" applyBorder="1" applyAlignment="1" applyProtection="1">
      <alignment horizontal="center" vertical="center"/>
      <protection hidden="1"/>
    </xf>
    <xf numFmtId="0" fontId="8" fillId="3" borderId="253" xfId="0" applyFont="1" applyFill="1" applyBorder="1" applyAlignment="1" applyProtection="1">
      <alignment horizontal="left" vertical="center" indent="1"/>
      <protection hidden="1"/>
    </xf>
    <xf numFmtId="0" fontId="8" fillId="3" borderId="0" xfId="0" applyFont="1" applyFill="1" applyAlignment="1" applyProtection="1">
      <alignment horizontal="left" vertical="center" indent="1"/>
      <protection hidden="1"/>
    </xf>
    <xf numFmtId="0" fontId="8" fillId="3" borderId="300" xfId="0" applyFont="1" applyFill="1" applyBorder="1" applyAlignment="1" applyProtection="1">
      <alignment horizontal="left" vertical="center" indent="1"/>
      <protection hidden="1"/>
    </xf>
    <xf numFmtId="0" fontId="8" fillId="3" borderId="137" xfId="0" applyFont="1" applyFill="1" applyBorder="1" applyAlignment="1" applyProtection="1">
      <alignment horizontal="left" vertical="center" indent="1"/>
      <protection hidden="1"/>
    </xf>
    <xf numFmtId="0" fontId="26" fillId="3" borderId="430" xfId="5" applyFont="1" applyFill="1" applyBorder="1" applyProtection="1">
      <alignment horizontal="right" vertical="center" indent="1"/>
      <protection hidden="1"/>
    </xf>
    <xf numFmtId="0" fontId="26" fillId="3" borderId="430" xfId="0" applyFont="1" applyFill="1" applyBorder="1" applyAlignment="1" applyProtection="1">
      <alignment horizontal="center" vertical="center"/>
      <protection hidden="1"/>
    </xf>
    <xf numFmtId="3" fontId="125" fillId="3" borderId="436" xfId="5" applyNumberFormat="1" applyFont="1" applyFill="1" applyBorder="1" applyProtection="1">
      <alignment horizontal="right" vertical="center" indent="1"/>
      <protection hidden="1"/>
    </xf>
    <xf numFmtId="3" fontId="125" fillId="3" borderId="432" xfId="5" applyNumberFormat="1" applyFont="1" applyFill="1" applyBorder="1" applyProtection="1">
      <alignment horizontal="right" vertical="center" indent="1"/>
      <protection hidden="1"/>
    </xf>
    <xf numFmtId="3" fontId="125" fillId="3" borderId="435" xfId="5" applyNumberFormat="1" applyFont="1" applyFill="1" applyBorder="1" applyProtection="1">
      <alignment horizontal="right" vertical="center" indent="1"/>
      <protection hidden="1"/>
    </xf>
    <xf numFmtId="3" fontId="125" fillId="3" borderId="431" xfId="5" applyNumberFormat="1" applyFont="1" applyFill="1" applyBorder="1" applyProtection="1">
      <alignment horizontal="right" vertical="center" indent="1"/>
      <protection hidden="1"/>
    </xf>
    <xf numFmtId="0" fontId="15" fillId="0" borderId="82" xfId="3" applyFont="1" applyBorder="1" applyAlignment="1" applyProtection="1">
      <alignment horizontal="center" vertical="center"/>
      <protection hidden="1"/>
    </xf>
    <xf numFmtId="0" fontId="15" fillId="0" borderId="91" xfId="3" applyFont="1" applyBorder="1" applyAlignment="1" applyProtection="1">
      <alignment horizontal="center" vertical="center"/>
      <protection hidden="1"/>
    </xf>
    <xf numFmtId="0" fontId="15" fillId="0" borderId="224" xfId="3" applyFont="1" applyBorder="1" applyAlignment="1" applyProtection="1">
      <alignment horizontal="center" vertical="center"/>
      <protection hidden="1"/>
    </xf>
    <xf numFmtId="0" fontId="15" fillId="3" borderId="82" xfId="3" applyFont="1" applyFill="1" applyBorder="1" applyAlignment="1" applyProtection="1">
      <alignment horizontal="center" vertical="center"/>
      <protection hidden="1"/>
    </xf>
    <xf numFmtId="0" fontId="15" fillId="3" borderId="224" xfId="3" applyFont="1" applyFill="1" applyBorder="1" applyAlignment="1" applyProtection="1">
      <alignment horizontal="center" vertical="center"/>
      <protection hidden="1"/>
    </xf>
    <xf numFmtId="0" fontId="15" fillId="0" borderId="213" xfId="3" applyFont="1" applyBorder="1" applyAlignment="1" applyProtection="1">
      <alignment horizontal="center" vertical="center"/>
      <protection hidden="1"/>
    </xf>
    <xf numFmtId="0" fontId="31" fillId="3" borderId="137" xfId="5" applyFont="1" applyFill="1" applyBorder="1" applyAlignment="1" applyProtection="1">
      <alignment horizontal="right" vertical="center" indent="2"/>
      <protection hidden="1"/>
    </xf>
    <xf numFmtId="0" fontId="15" fillId="3" borderId="433" xfId="4" applyFont="1" applyFill="1" applyBorder="1" applyProtection="1">
      <alignment horizontal="left" vertical="center" indent="1"/>
      <protection hidden="1"/>
    </xf>
    <xf numFmtId="0" fontId="15" fillId="3" borderId="0" xfId="4" applyFont="1" applyFill="1" applyBorder="1" applyProtection="1">
      <alignment horizontal="left" vertical="center" indent="1"/>
      <protection hidden="1"/>
    </xf>
    <xf numFmtId="0" fontId="15" fillId="3" borderId="439" xfId="4" applyFont="1" applyFill="1" applyBorder="1" applyProtection="1">
      <alignment horizontal="left" vertical="center" indent="1"/>
      <protection hidden="1"/>
    </xf>
    <xf numFmtId="0" fontId="15" fillId="3" borderId="18" xfId="4" applyFont="1" applyFill="1" applyBorder="1" applyProtection="1">
      <alignment horizontal="left" vertical="center" indent="1"/>
      <protection hidden="1"/>
    </xf>
    <xf numFmtId="0" fontId="15" fillId="3" borderId="286" xfId="4" applyFont="1" applyFill="1" applyBorder="1" applyProtection="1">
      <alignment horizontal="left" vertical="center" indent="1"/>
      <protection hidden="1"/>
    </xf>
    <xf numFmtId="0" fontId="15" fillId="3" borderId="252" xfId="4" applyFont="1" applyFill="1" applyBorder="1" applyProtection="1">
      <alignment horizontal="left" vertical="center" indent="1"/>
      <protection hidden="1"/>
    </xf>
    <xf numFmtId="166" fontId="37" fillId="3" borderId="196" xfId="5" applyNumberFormat="1" applyFont="1" applyFill="1" applyBorder="1" applyProtection="1">
      <alignment horizontal="right" vertical="center" indent="1"/>
      <protection hidden="1"/>
    </xf>
    <xf numFmtId="166" fontId="37" fillId="3" borderId="266" xfId="5" applyNumberFormat="1" applyFont="1" applyFill="1" applyBorder="1" applyProtection="1">
      <alignment horizontal="right" vertical="center" indent="1"/>
      <protection hidden="1"/>
    </xf>
    <xf numFmtId="0" fontId="8" fillId="3" borderId="267" xfId="4" applyFont="1" applyFill="1" applyBorder="1" applyProtection="1">
      <alignment horizontal="left" vertical="center" indent="1"/>
      <protection hidden="1"/>
    </xf>
    <xf numFmtId="0" fontId="8" fillId="3" borderId="196" xfId="4" applyFont="1" applyFill="1" applyBorder="1" applyProtection="1">
      <alignment horizontal="left" vertical="center" indent="1"/>
      <protection hidden="1"/>
    </xf>
    <xf numFmtId="0" fontId="8" fillId="3" borderId="437" xfId="0" applyFont="1" applyFill="1" applyBorder="1" applyAlignment="1" applyProtection="1">
      <alignment horizontal="left" vertical="center" indent="1"/>
      <protection hidden="1"/>
    </xf>
    <xf numFmtId="0" fontId="8" fillId="3" borderId="430" xfId="0" applyFont="1" applyFill="1" applyBorder="1" applyAlignment="1" applyProtection="1">
      <alignment horizontal="left" vertical="center" indent="1"/>
      <protection hidden="1"/>
    </xf>
    <xf numFmtId="6" fontId="15" fillId="6" borderId="247" xfId="5" applyNumberFormat="1" applyFont="1" applyFill="1" applyBorder="1" applyProtection="1">
      <alignment horizontal="right" vertical="center" indent="1"/>
      <protection locked="0" hidden="1"/>
    </xf>
    <xf numFmtId="0" fontId="28" fillId="3" borderId="0" xfId="4" applyFont="1" applyFill="1" applyBorder="1" applyProtection="1">
      <alignment horizontal="left" vertical="center" indent="1"/>
      <protection hidden="1"/>
    </xf>
    <xf numFmtId="0" fontId="28" fillId="3" borderId="73" xfId="4" applyFont="1" applyFill="1" applyBorder="1" applyProtection="1">
      <alignment horizontal="left" vertical="center" indent="1"/>
      <protection hidden="1"/>
    </xf>
    <xf numFmtId="0" fontId="0" fillId="3" borderId="249" xfId="0" applyFill="1" applyBorder="1" applyAlignment="1" applyProtection="1">
      <alignment horizontal="left" vertical="center" indent="6"/>
      <protection hidden="1"/>
    </xf>
    <xf numFmtId="0" fontId="0" fillId="3" borderId="265" xfId="0" applyFill="1" applyBorder="1" applyAlignment="1" applyProtection="1">
      <alignment horizontal="left" vertical="center" indent="6"/>
      <protection hidden="1"/>
    </xf>
    <xf numFmtId="0" fontId="0" fillId="3" borderId="246" xfId="0" applyFill="1" applyBorder="1" applyAlignment="1" applyProtection="1">
      <alignment horizontal="left" vertical="center" indent="6"/>
      <protection hidden="1"/>
    </xf>
    <xf numFmtId="6" fontId="8" fillId="22" borderId="274" xfId="5" applyNumberFormat="1" applyFont="1" applyFill="1" applyBorder="1" applyProtection="1">
      <alignment horizontal="right" vertical="center" indent="1"/>
      <protection hidden="1"/>
    </xf>
    <xf numFmtId="6" fontId="15" fillId="22" borderId="290" xfId="5" applyNumberFormat="1" applyFont="1" applyFill="1" applyBorder="1" applyProtection="1">
      <alignment horizontal="right" vertical="center" indent="1"/>
      <protection hidden="1"/>
    </xf>
    <xf numFmtId="0" fontId="8" fillId="22" borderId="274" xfId="0" applyFont="1" applyFill="1" applyBorder="1" applyAlignment="1" applyProtection="1">
      <alignment horizontal="left" vertical="center" indent="1"/>
      <protection hidden="1"/>
    </xf>
    <xf numFmtId="0" fontId="15" fillId="22" borderId="290" xfId="0" applyFont="1" applyFill="1" applyBorder="1" applyAlignment="1" applyProtection="1">
      <alignment horizontal="left" vertical="center" indent="1"/>
      <protection hidden="1"/>
    </xf>
    <xf numFmtId="0" fontId="2" fillId="3" borderId="248" xfId="0" applyFont="1" applyFill="1" applyBorder="1" applyAlignment="1" applyProtection="1">
      <alignment horizontal="left" vertical="center" indent="1"/>
      <protection hidden="1"/>
    </xf>
    <xf numFmtId="0" fontId="2" fillId="3" borderId="255" xfId="0" applyFont="1" applyFill="1" applyBorder="1" applyAlignment="1" applyProtection="1">
      <alignment horizontal="left" vertical="center" indent="1"/>
      <protection hidden="1"/>
    </xf>
    <xf numFmtId="9" fontId="15" fillId="0" borderId="261" xfId="5" applyNumberFormat="1" applyFont="1" applyFill="1" applyBorder="1" applyProtection="1">
      <alignment horizontal="right" vertical="center" indent="1"/>
      <protection hidden="1"/>
    </xf>
    <xf numFmtId="9" fontId="15" fillId="0" borderId="262" xfId="5" applyNumberFormat="1" applyFont="1" applyFill="1" applyBorder="1" applyProtection="1">
      <alignment horizontal="right" vertical="center" indent="1"/>
      <protection hidden="1"/>
    </xf>
    <xf numFmtId="166" fontId="15" fillId="8" borderId="260" xfId="5" applyNumberFormat="1" applyFont="1" applyFill="1" applyBorder="1" applyProtection="1">
      <alignment horizontal="right" vertical="center" indent="1"/>
      <protection locked="0" hidden="1"/>
    </xf>
    <xf numFmtId="6" fontId="75" fillId="22" borderId="248" xfId="5" applyNumberFormat="1" applyFont="1" applyFill="1" applyBorder="1" applyProtection="1">
      <alignment horizontal="right" vertical="center" indent="1"/>
      <protection hidden="1"/>
    </xf>
    <xf numFmtId="6" fontId="75" fillId="22" borderId="250" xfId="5" applyNumberFormat="1" applyFont="1" applyFill="1" applyBorder="1" applyProtection="1">
      <alignment horizontal="right" vertical="center" indent="1"/>
      <protection hidden="1"/>
    </xf>
    <xf numFmtId="0" fontId="15" fillId="3" borderId="463" xfId="4" applyFont="1" applyFill="1" applyBorder="1" applyProtection="1">
      <alignment horizontal="left" vertical="center" indent="1"/>
      <protection hidden="1"/>
    </xf>
    <xf numFmtId="3" fontId="15" fillId="0" borderId="0" xfId="4" applyNumberFormat="1" applyFont="1" applyFill="1" applyBorder="1" applyProtection="1">
      <alignment horizontal="left" vertical="center" indent="1"/>
      <protection hidden="1"/>
    </xf>
    <xf numFmtId="3" fontId="15" fillId="0" borderId="73" xfId="4" applyNumberFormat="1" applyFont="1" applyFill="1" applyBorder="1" applyProtection="1">
      <alignment horizontal="left" vertical="center" indent="1"/>
      <protection hidden="1"/>
    </xf>
    <xf numFmtId="0" fontId="15" fillId="6" borderId="464" xfId="0" applyFont="1" applyFill="1" applyBorder="1" applyAlignment="1" applyProtection="1">
      <alignment horizontal="center" vertical="center"/>
      <protection hidden="1"/>
    </xf>
    <xf numFmtId="0" fontId="15" fillId="6" borderId="16" xfId="0" applyFont="1" applyFill="1" applyBorder="1" applyAlignment="1" applyProtection="1">
      <alignment horizontal="center" vertical="center"/>
      <protection hidden="1"/>
    </xf>
    <xf numFmtId="0" fontId="95" fillId="9" borderId="0" xfId="4" applyFont="1" applyFill="1" applyBorder="1" applyAlignment="1" applyProtection="1">
      <alignment horizontal="left" vertical="center" indent="5"/>
      <protection hidden="1"/>
    </xf>
    <xf numFmtId="0" fontId="15" fillId="7" borderId="249" xfId="3" applyFont="1" applyFill="1" applyBorder="1" applyAlignment="1" applyProtection="1">
      <alignment horizontal="center" vertical="center"/>
      <protection locked="0" hidden="1"/>
    </xf>
    <xf numFmtId="0" fontId="15" fillId="7" borderId="246" xfId="3" applyFont="1" applyFill="1" applyBorder="1" applyAlignment="1" applyProtection="1">
      <alignment horizontal="center" vertical="center"/>
      <protection locked="0" hidden="1"/>
    </xf>
    <xf numFmtId="3" fontId="15" fillId="0" borderId="247" xfId="5" applyNumberFormat="1" applyFont="1" applyFill="1" applyBorder="1" applyAlignment="1" applyProtection="1">
      <alignment horizontal="center" vertical="center"/>
      <protection hidden="1"/>
    </xf>
    <xf numFmtId="0" fontId="13" fillId="3" borderId="255" xfId="4" applyFont="1" applyFill="1" applyBorder="1" applyProtection="1">
      <alignment horizontal="left" vertical="center" indent="1"/>
      <protection hidden="1"/>
    </xf>
    <xf numFmtId="0" fontId="13" fillId="3" borderId="275" xfId="4" applyFont="1" applyFill="1" applyBorder="1" applyProtection="1">
      <alignment horizontal="left" vertical="center" indent="1"/>
      <protection hidden="1"/>
    </xf>
    <xf numFmtId="3" fontId="15" fillId="0" borderId="248" xfId="5" applyNumberFormat="1" applyFont="1" applyFill="1" applyBorder="1" applyProtection="1">
      <alignment horizontal="right" vertical="center" indent="1"/>
      <protection hidden="1"/>
    </xf>
    <xf numFmtId="0" fontId="3" fillId="3" borderId="265" xfId="5" applyFont="1" applyFill="1" applyBorder="1" applyAlignment="1" applyProtection="1">
      <alignment horizontal="center" vertical="center"/>
      <protection hidden="1"/>
    </xf>
    <xf numFmtId="0" fontId="3" fillId="3" borderId="246" xfId="5" applyFont="1" applyFill="1" applyBorder="1" applyAlignment="1" applyProtection="1">
      <alignment horizontal="center" vertical="center"/>
      <protection hidden="1"/>
    </xf>
    <xf numFmtId="0" fontId="0" fillId="3" borderId="249" xfId="4" applyFont="1" applyFill="1" applyBorder="1" applyProtection="1">
      <alignment horizontal="left" vertical="center" indent="1"/>
      <protection hidden="1"/>
    </xf>
    <xf numFmtId="0" fontId="0" fillId="3" borderId="265" xfId="4" applyFont="1" applyFill="1" applyBorder="1" applyProtection="1">
      <alignment horizontal="left" vertical="center" indent="1"/>
      <protection hidden="1"/>
    </xf>
    <xf numFmtId="0" fontId="3" fillId="3" borderId="137" xfId="5" applyFont="1" applyFill="1" applyBorder="1" applyAlignment="1" applyProtection="1">
      <alignment horizontal="center" vertical="center"/>
      <protection hidden="1"/>
    </xf>
    <xf numFmtId="0" fontId="3" fillId="3" borderId="293" xfId="5" applyFont="1" applyFill="1" applyBorder="1" applyAlignment="1" applyProtection="1">
      <alignment horizontal="center" vertical="center"/>
      <protection hidden="1"/>
    </xf>
    <xf numFmtId="0" fontId="0" fillId="3" borderId="261" xfId="4" applyFont="1" applyFill="1" applyBorder="1" applyProtection="1">
      <alignment horizontal="left" vertical="center" indent="1"/>
      <protection hidden="1"/>
    </xf>
    <xf numFmtId="0" fontId="0" fillId="3" borderId="264" xfId="4" applyFont="1" applyFill="1" applyBorder="1" applyProtection="1">
      <alignment horizontal="left" vertical="center" indent="1"/>
      <protection hidden="1"/>
    </xf>
    <xf numFmtId="0" fontId="0" fillId="3" borderId="248" xfId="0" applyFill="1" applyBorder="1" applyAlignment="1" applyProtection="1">
      <alignment horizontal="left" vertical="center" indent="1"/>
      <protection hidden="1"/>
    </xf>
    <xf numFmtId="3" fontId="15" fillId="0" borderId="279" xfId="5" applyNumberFormat="1" applyFont="1" applyFill="1" applyBorder="1" applyAlignment="1" applyProtection="1">
      <alignment horizontal="center" vertical="center"/>
      <protection hidden="1"/>
    </xf>
    <xf numFmtId="3" fontId="15" fillId="0" borderId="260" xfId="5" applyNumberFormat="1" applyFont="1" applyFill="1" applyBorder="1" applyAlignment="1" applyProtection="1">
      <alignment horizontal="center" vertical="center"/>
      <protection hidden="1"/>
    </xf>
    <xf numFmtId="8" fontId="15" fillId="8" borderId="247" xfId="5" applyNumberFormat="1" applyFont="1" applyFill="1" applyBorder="1" applyProtection="1">
      <alignment horizontal="right" vertical="center" indent="1"/>
      <protection locked="0" hidden="1"/>
    </xf>
    <xf numFmtId="8" fontId="15" fillId="8" borderId="260" xfId="5" applyNumberFormat="1" applyFont="1" applyFill="1" applyBorder="1" applyProtection="1">
      <alignment horizontal="right" vertical="center" indent="1"/>
      <protection locked="0" hidden="1"/>
    </xf>
    <xf numFmtId="0" fontId="73" fillId="10" borderId="253" xfId="0" applyFont="1" applyFill="1" applyBorder="1" applyAlignment="1" applyProtection="1">
      <alignment horizontal="center" vertical="center"/>
      <protection hidden="1"/>
    </xf>
    <xf numFmtId="0" fontId="73" fillId="10" borderId="252" xfId="0" applyFont="1" applyFill="1" applyBorder="1" applyAlignment="1" applyProtection="1">
      <alignment horizontal="center" vertical="center"/>
      <protection hidden="1"/>
    </xf>
    <xf numFmtId="0" fontId="73" fillId="10" borderId="0" xfId="0" applyFont="1" applyFill="1" applyAlignment="1" applyProtection="1">
      <alignment horizontal="center" vertical="center"/>
      <protection hidden="1"/>
    </xf>
    <xf numFmtId="164" fontId="15" fillId="6" borderId="247" xfId="5" applyNumberFormat="1" applyFont="1" applyFill="1" applyBorder="1" applyProtection="1">
      <alignment horizontal="right" vertical="center" indent="1"/>
      <protection locked="0" hidden="1"/>
    </xf>
    <xf numFmtId="6" fontId="15" fillId="8" borderId="249" xfId="5" applyNumberFormat="1" applyFont="1" applyFill="1" applyBorder="1" applyProtection="1">
      <alignment horizontal="right" vertical="center" indent="1"/>
      <protection locked="0" hidden="1"/>
    </xf>
    <xf numFmtId="6" fontId="15" fillId="8" borderId="246" xfId="5" applyNumberFormat="1" applyFont="1" applyFill="1" applyBorder="1" applyProtection="1">
      <alignment horizontal="right" vertical="center" indent="1"/>
      <protection locked="0" hidden="1"/>
    </xf>
    <xf numFmtId="3" fontId="15" fillId="0" borderId="249" xfId="4" applyNumberFormat="1" applyFont="1" applyFill="1" applyBorder="1" applyProtection="1">
      <alignment horizontal="left" vertical="center" indent="1"/>
      <protection hidden="1"/>
    </xf>
    <xf numFmtId="3" fontId="15" fillId="0" borderId="246" xfId="4" applyNumberFormat="1" applyFont="1" applyFill="1" applyBorder="1" applyProtection="1">
      <alignment horizontal="left" vertical="center" indent="1"/>
      <protection hidden="1"/>
    </xf>
    <xf numFmtId="0" fontId="0" fillId="3" borderId="255" xfId="4" applyFont="1" applyFill="1" applyBorder="1" applyProtection="1">
      <alignment horizontal="left" vertical="center" indent="1"/>
      <protection hidden="1"/>
    </xf>
    <xf numFmtId="0" fontId="0" fillId="3" borderId="275" xfId="4" applyFont="1" applyFill="1" applyBorder="1" applyProtection="1">
      <alignment horizontal="left" vertical="center" indent="1"/>
      <protection hidden="1"/>
    </xf>
    <xf numFmtId="0" fontId="0" fillId="3" borderId="249" xfId="0" applyFill="1" applyBorder="1" applyAlignment="1" applyProtection="1">
      <alignment horizontal="left" vertical="center" indent="1"/>
      <protection hidden="1"/>
    </xf>
    <xf numFmtId="164" fontId="15" fillId="22" borderId="248" xfId="5" applyNumberFormat="1" applyFont="1" applyFill="1" applyBorder="1" applyProtection="1">
      <alignment horizontal="right" vertical="center" indent="1"/>
      <protection hidden="1"/>
    </xf>
    <xf numFmtId="0" fontId="2" fillId="3" borderId="260" xfId="0" applyFont="1" applyFill="1" applyBorder="1" applyAlignment="1" applyProtection="1">
      <alignment horizontal="left" vertical="center" indent="1"/>
      <protection hidden="1"/>
    </xf>
    <xf numFmtId="0" fontId="2" fillId="3" borderId="261" xfId="0" applyFont="1" applyFill="1" applyBorder="1" applyAlignment="1" applyProtection="1">
      <alignment horizontal="left" vertical="center" indent="1"/>
      <protection hidden="1"/>
    </xf>
    <xf numFmtId="0" fontId="8" fillId="22" borderId="0" xfId="0" applyFont="1" applyFill="1" applyAlignment="1" applyProtection="1">
      <alignment horizontal="left" vertical="center" indent="1"/>
      <protection hidden="1"/>
    </xf>
    <xf numFmtId="0" fontId="117" fillId="3" borderId="275" xfId="0" applyFont="1" applyFill="1" applyBorder="1" applyAlignment="1" applyProtection="1">
      <alignment horizontal="right"/>
      <protection hidden="1"/>
    </xf>
    <xf numFmtId="0" fontId="117" fillId="3" borderId="256" xfId="0" applyFont="1" applyFill="1" applyBorder="1" applyAlignment="1" applyProtection="1">
      <alignment horizontal="right"/>
      <protection hidden="1"/>
    </xf>
    <xf numFmtId="0" fontId="82" fillId="4" borderId="194" xfId="0" applyFont="1" applyFill="1" applyBorder="1" applyAlignment="1" applyProtection="1">
      <alignment horizontal="center" vertical="center"/>
      <protection hidden="1"/>
    </xf>
    <xf numFmtId="164" fontId="79" fillId="9" borderId="0" xfId="0" applyNumberFormat="1" applyFont="1" applyFill="1" applyAlignment="1" applyProtection="1">
      <alignment horizontal="center" vertical="center"/>
      <protection hidden="1"/>
    </xf>
    <xf numFmtId="172" fontId="79" fillId="9" borderId="0" xfId="0" applyNumberFormat="1" applyFont="1" applyFill="1" applyAlignment="1" applyProtection="1">
      <alignment horizontal="center" vertical="center"/>
      <protection hidden="1"/>
    </xf>
    <xf numFmtId="0" fontId="78" fillId="22" borderId="274" xfId="4" applyFont="1" applyFill="1" applyBorder="1" applyProtection="1">
      <alignment horizontal="left" vertical="center" indent="1"/>
      <protection hidden="1"/>
    </xf>
    <xf numFmtId="0" fontId="78" fillId="22" borderId="290" xfId="4" applyFont="1" applyFill="1" applyBorder="1" applyProtection="1">
      <alignment horizontal="left" vertical="center" indent="1"/>
      <protection hidden="1"/>
    </xf>
    <xf numFmtId="3" fontId="15" fillId="0" borderId="256" xfId="5" applyNumberFormat="1" applyFont="1" applyFill="1" applyBorder="1" applyProtection="1">
      <alignment horizontal="right" vertical="center" indent="1"/>
      <protection hidden="1"/>
    </xf>
    <xf numFmtId="9" fontId="15" fillId="0" borderId="260" xfId="5" applyNumberFormat="1" applyFont="1" applyFill="1" applyBorder="1" applyProtection="1">
      <alignment horizontal="right" vertical="center" indent="1"/>
      <protection hidden="1"/>
    </xf>
    <xf numFmtId="6" fontId="76" fillId="22" borderId="281" xfId="5" applyNumberFormat="1" applyFont="1" applyFill="1" applyBorder="1" applyProtection="1">
      <alignment horizontal="right" vertical="center" indent="1"/>
      <protection hidden="1"/>
    </xf>
    <xf numFmtId="6" fontId="76" fillId="22" borderId="222" xfId="5" applyNumberFormat="1" applyFont="1" applyFill="1" applyBorder="1" applyProtection="1">
      <alignment horizontal="right" vertical="center" indent="1"/>
      <protection hidden="1"/>
    </xf>
    <xf numFmtId="6" fontId="15" fillId="6" borderId="248" xfId="5" applyNumberFormat="1" applyFont="1" applyFill="1" applyBorder="1" applyProtection="1">
      <alignment horizontal="right" vertical="center" indent="1"/>
      <protection locked="0" hidden="1"/>
    </xf>
    <xf numFmtId="168" fontId="15" fillId="8" borderId="260" xfId="5" applyNumberFormat="1" applyFont="1" applyFill="1" applyBorder="1" applyProtection="1">
      <alignment horizontal="right" vertical="center" indent="1"/>
      <protection locked="0" hidden="1"/>
    </xf>
    <xf numFmtId="6" fontId="78" fillId="22" borderId="274" xfId="5" applyNumberFormat="1" applyFont="1" applyFill="1" applyBorder="1" applyProtection="1">
      <alignment horizontal="right" vertical="center" indent="1"/>
      <protection hidden="1"/>
    </xf>
    <xf numFmtId="0" fontId="77" fillId="3" borderId="285" xfId="4" applyFont="1" applyFill="1" applyBorder="1" applyProtection="1">
      <alignment horizontal="left" vertical="center" indent="1"/>
      <protection hidden="1"/>
    </xf>
    <xf numFmtId="0" fontId="77" fillId="3" borderId="283" xfId="4" applyFont="1" applyFill="1" applyBorder="1" applyProtection="1">
      <alignment horizontal="left" vertical="center" indent="1"/>
      <protection hidden="1"/>
    </xf>
    <xf numFmtId="0" fontId="77" fillId="3" borderId="284" xfId="4" applyFont="1" applyFill="1" applyBorder="1" applyProtection="1">
      <alignment horizontal="left" vertical="center" indent="1"/>
      <protection hidden="1"/>
    </xf>
    <xf numFmtId="0" fontId="77" fillId="3" borderId="286" xfId="4" applyFont="1" applyFill="1" applyBorder="1" applyProtection="1">
      <alignment horizontal="left" vertical="center" indent="1"/>
      <protection hidden="1"/>
    </xf>
    <xf numFmtId="0" fontId="77" fillId="3" borderId="281" xfId="4" applyFont="1" applyFill="1" applyBorder="1" applyProtection="1">
      <alignment horizontal="left" vertical="center" indent="1"/>
      <protection hidden="1"/>
    </xf>
    <xf numFmtId="0" fontId="77" fillId="3" borderId="282" xfId="4" applyFont="1" applyFill="1" applyBorder="1" applyProtection="1">
      <alignment horizontal="left" vertical="center" indent="1"/>
      <protection hidden="1"/>
    </xf>
    <xf numFmtId="0" fontId="83" fillId="6" borderId="255" xfId="4" applyFont="1" applyFill="1" applyBorder="1" applyProtection="1">
      <alignment horizontal="left" vertical="center" indent="1"/>
      <protection locked="0"/>
    </xf>
    <xf numFmtId="0" fontId="83" fillId="6" borderId="275" xfId="4" applyFont="1" applyFill="1" applyBorder="1" applyProtection="1">
      <alignment horizontal="left" vertical="center" indent="1"/>
      <protection locked="0"/>
    </xf>
    <xf numFmtId="0" fontId="2" fillId="3" borderId="282" xfId="4" applyFont="1" applyFill="1" applyBorder="1" applyProtection="1">
      <alignment horizontal="left" vertical="center" indent="1"/>
      <protection hidden="1"/>
    </xf>
    <xf numFmtId="0" fontId="2" fillId="3" borderId="18" xfId="4" applyFont="1" applyFill="1" applyBorder="1" applyProtection="1">
      <alignment horizontal="left" vertical="center" indent="1"/>
      <protection hidden="1"/>
    </xf>
    <xf numFmtId="0" fontId="2" fillId="3" borderId="286" xfId="4" applyFont="1" applyFill="1" applyBorder="1" applyProtection="1">
      <alignment horizontal="left" vertical="center" indent="1"/>
      <protection hidden="1"/>
    </xf>
    <xf numFmtId="0" fontId="15" fillId="9" borderId="0" xfId="5" applyFont="1" applyFill="1" applyBorder="1" applyAlignment="1" applyProtection="1">
      <alignment horizontal="left" vertical="center" wrapText="1"/>
      <protection hidden="1"/>
    </xf>
    <xf numFmtId="0" fontId="15" fillId="9" borderId="5" xfId="5" applyFont="1" applyFill="1" applyBorder="1" applyAlignment="1" applyProtection="1">
      <alignment horizontal="left" vertical="center" wrapText="1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3" fontId="15" fillId="0" borderId="246" xfId="5" applyNumberFormat="1" applyFont="1" applyFill="1" applyBorder="1" applyProtection="1">
      <alignment horizontal="right" vertical="center" indent="1"/>
      <protection hidden="1"/>
    </xf>
    <xf numFmtId="3" fontId="15" fillId="0" borderId="247" xfId="5" applyNumberFormat="1" applyFont="1" applyFill="1" applyBorder="1" applyProtection="1">
      <alignment horizontal="right" vertical="center" indent="1"/>
      <protection hidden="1"/>
    </xf>
    <xf numFmtId="171" fontId="15" fillId="6" borderId="248" xfId="5" applyNumberFormat="1" applyFont="1" applyFill="1" applyBorder="1" applyProtection="1">
      <alignment horizontal="right" vertical="center" indent="1"/>
      <protection locked="0" hidden="1"/>
    </xf>
    <xf numFmtId="164" fontId="15" fillId="6" borderId="279" xfId="5" applyNumberFormat="1" applyFont="1" applyFill="1" applyBorder="1" applyProtection="1">
      <alignment horizontal="right" vertical="center" indent="1"/>
      <protection locked="0" hidden="1"/>
    </xf>
    <xf numFmtId="3" fontId="15" fillId="3" borderId="256" xfId="4" applyNumberFormat="1" applyFont="1" applyFill="1" applyBorder="1" applyProtection="1">
      <alignment horizontal="left" vertical="center" indent="1"/>
      <protection hidden="1"/>
    </xf>
    <xf numFmtId="3" fontId="15" fillId="3" borderId="255" xfId="4" applyNumberFormat="1" applyFont="1" applyFill="1" applyBorder="1" applyProtection="1">
      <alignment horizontal="left" vertical="center" indent="1"/>
      <protection hidden="1"/>
    </xf>
    <xf numFmtId="166" fontId="15" fillId="6" borderId="248" xfId="5" applyNumberFormat="1" applyFont="1" applyFill="1" applyBorder="1" applyProtection="1">
      <alignment horizontal="right" vertical="center" indent="1"/>
      <protection locked="0" hidden="1"/>
    </xf>
    <xf numFmtId="9" fontId="15" fillId="3" borderId="248" xfId="5" quotePrefix="1" applyNumberFormat="1" applyFont="1" applyFill="1" applyBorder="1" applyProtection="1">
      <alignment horizontal="right" vertical="center" indent="1"/>
      <protection hidden="1"/>
    </xf>
    <xf numFmtId="9" fontId="15" fillId="3" borderId="255" xfId="5" applyNumberFormat="1" applyFont="1" applyFill="1" applyBorder="1" applyProtection="1">
      <alignment horizontal="right" vertical="center" indent="1"/>
      <protection hidden="1"/>
    </xf>
    <xf numFmtId="164" fontId="75" fillId="22" borderId="248" xfId="5" applyNumberFormat="1" applyFont="1" applyFill="1" applyBorder="1" applyProtection="1">
      <alignment horizontal="right" vertical="center" indent="1"/>
      <protection hidden="1"/>
    </xf>
    <xf numFmtId="164" fontId="75" fillId="22" borderId="250" xfId="5" applyNumberFormat="1" applyFont="1" applyFill="1" applyBorder="1" applyProtection="1">
      <alignment horizontal="right" vertical="center" indent="1"/>
      <protection hidden="1"/>
    </xf>
    <xf numFmtId="174" fontId="75" fillId="22" borderId="260" xfId="5" applyNumberFormat="1" applyFont="1" applyFill="1" applyBorder="1" applyProtection="1">
      <alignment horizontal="right" vertical="center" indent="1"/>
      <protection hidden="1"/>
    </xf>
    <xf numFmtId="174" fontId="75" fillId="22" borderId="270" xfId="5" applyNumberFormat="1" applyFont="1" applyFill="1" applyBorder="1" applyProtection="1">
      <alignment horizontal="right" vertical="center" indent="1"/>
      <protection hidden="1"/>
    </xf>
    <xf numFmtId="0" fontId="118" fillId="3" borderId="18" xfId="2" applyFont="1" applyFill="1" applyBorder="1" applyAlignment="1" applyProtection="1">
      <alignment horizontal="center" vertical="center"/>
      <protection hidden="1"/>
    </xf>
    <xf numFmtId="0" fontId="118" fillId="3" borderId="286" xfId="2" applyFont="1" applyFill="1" applyBorder="1" applyAlignment="1" applyProtection="1">
      <alignment horizontal="center" vertical="center"/>
      <protection hidden="1"/>
    </xf>
    <xf numFmtId="6" fontId="76" fillId="22" borderId="248" xfId="5" applyNumberFormat="1" applyFont="1" applyFill="1" applyBorder="1" applyProtection="1">
      <alignment horizontal="right" vertical="center" indent="1"/>
      <protection hidden="1"/>
    </xf>
    <xf numFmtId="6" fontId="76" fillId="22" borderId="250" xfId="5" applyNumberFormat="1" applyFont="1" applyFill="1" applyBorder="1" applyProtection="1">
      <alignment horizontal="right" vertical="center" indent="1"/>
      <protection hidden="1"/>
    </xf>
    <xf numFmtId="8" fontId="15" fillId="6" borderId="248" xfId="5" applyNumberFormat="1" applyFont="1" applyFill="1" applyBorder="1" applyProtection="1">
      <alignment horizontal="right" vertical="center" indent="1"/>
      <protection locked="0" hidden="1"/>
    </xf>
    <xf numFmtId="168" fontId="15" fillId="8" borderId="248" xfId="5" applyNumberFormat="1" applyFont="1" applyFill="1" applyBorder="1" applyProtection="1">
      <alignment horizontal="right" vertical="center" indent="1"/>
      <protection locked="0" hidden="1"/>
    </xf>
    <xf numFmtId="6" fontId="15" fillId="8" borderId="247" xfId="5" applyNumberFormat="1" applyFont="1" applyFill="1" applyBorder="1" applyProtection="1">
      <alignment horizontal="right" vertical="center" indent="1"/>
      <protection locked="0" hidden="1"/>
    </xf>
    <xf numFmtId="9" fontId="15" fillId="0" borderId="248" xfId="5" applyNumberFormat="1" applyFont="1" applyFill="1" applyBorder="1" applyProtection="1">
      <alignment horizontal="right" vertical="center" indent="1"/>
      <protection hidden="1"/>
    </xf>
    <xf numFmtId="3" fontId="15" fillId="0" borderId="247" xfId="4" applyNumberFormat="1" applyFont="1" applyFill="1" applyBorder="1" applyProtection="1">
      <alignment horizontal="left" vertical="center" indent="1"/>
      <protection hidden="1"/>
    </xf>
    <xf numFmtId="6" fontId="8" fillId="22" borderId="0" xfId="5" applyNumberFormat="1" applyFont="1" applyFill="1" applyBorder="1" applyProtection="1">
      <alignment horizontal="right" vertical="center" indent="1"/>
      <protection hidden="1"/>
    </xf>
    <xf numFmtId="6" fontId="75" fillId="22" borderId="260" xfId="5" applyNumberFormat="1" applyFont="1" applyFill="1" applyBorder="1" applyProtection="1">
      <alignment horizontal="right" vertical="center" indent="1"/>
      <protection hidden="1"/>
    </xf>
    <xf numFmtId="6" fontId="75" fillId="22" borderId="270" xfId="5" applyNumberFormat="1" applyFont="1" applyFill="1" applyBorder="1" applyProtection="1">
      <alignment horizontal="right" vertical="center" indent="1"/>
      <protection hidden="1"/>
    </xf>
    <xf numFmtId="8" fontId="15" fillId="8" borderId="248" xfId="5" applyNumberFormat="1" applyFont="1" applyFill="1" applyBorder="1" applyProtection="1">
      <alignment horizontal="right" vertical="center" indent="1"/>
      <protection locked="0" hidden="1"/>
    </xf>
    <xf numFmtId="6" fontId="75" fillId="22" borderId="210" xfId="5" applyNumberFormat="1" applyFont="1" applyFill="1" applyBorder="1" applyProtection="1">
      <alignment horizontal="right" vertical="center" indent="1"/>
      <protection hidden="1"/>
    </xf>
    <xf numFmtId="0" fontId="0" fillId="3" borderId="255" xfId="0" applyFill="1" applyBorder="1" applyAlignment="1" applyProtection="1">
      <alignment horizontal="left" vertical="center" indent="1"/>
      <protection hidden="1"/>
    </xf>
    <xf numFmtId="0" fontId="0" fillId="3" borderId="275" xfId="0" applyFill="1" applyBorder="1" applyAlignment="1" applyProtection="1">
      <alignment horizontal="left" vertical="center" indent="1"/>
      <protection hidden="1"/>
    </xf>
    <xf numFmtId="0" fontId="0" fillId="3" borderId="256" xfId="0" applyFill="1" applyBorder="1" applyAlignment="1" applyProtection="1">
      <alignment horizontal="left" vertical="center" indent="1"/>
      <protection hidden="1"/>
    </xf>
    <xf numFmtId="171" fontId="76" fillId="22" borderId="248" xfId="5" applyNumberFormat="1" applyFont="1" applyFill="1" applyBorder="1" applyProtection="1">
      <alignment horizontal="right" vertical="center" indent="1"/>
      <protection hidden="1"/>
    </xf>
    <xf numFmtId="171" fontId="15" fillId="6" borderId="247" xfId="5" applyNumberFormat="1" applyFont="1" applyFill="1" applyBorder="1" applyProtection="1">
      <alignment horizontal="right" vertical="center" indent="1"/>
      <protection locked="0" hidden="1"/>
    </xf>
    <xf numFmtId="164" fontId="15" fillId="8" borderId="247" xfId="5" applyNumberFormat="1" applyFont="1" applyFill="1" applyBorder="1" applyProtection="1">
      <alignment horizontal="right" vertical="center" indent="1"/>
      <protection locked="0" hidden="1"/>
    </xf>
    <xf numFmtId="173" fontId="15" fillId="6" borderId="260" xfId="5" applyNumberFormat="1" applyFont="1" applyFill="1" applyBorder="1" applyProtection="1">
      <alignment horizontal="right" vertical="center" indent="1"/>
      <protection locked="0" hidden="1"/>
    </xf>
    <xf numFmtId="0" fontId="2" fillId="3" borderId="281" xfId="0" applyFont="1" applyFill="1" applyBorder="1" applyAlignment="1" applyProtection="1">
      <alignment horizontal="left" vertical="center" indent="1"/>
      <protection hidden="1"/>
    </xf>
    <xf numFmtId="0" fontId="2" fillId="3" borderId="282" xfId="0" applyFont="1" applyFill="1" applyBorder="1" applyAlignment="1" applyProtection="1">
      <alignment horizontal="left" vertical="center" indent="1"/>
      <protection hidden="1"/>
    </xf>
    <xf numFmtId="6" fontId="15" fillId="6" borderId="262" xfId="5" applyNumberFormat="1" applyFont="1" applyFill="1" applyBorder="1" applyProtection="1">
      <alignment horizontal="right" vertical="center" indent="1"/>
      <protection locked="0" hidden="1"/>
    </xf>
    <xf numFmtId="6" fontId="75" fillId="22" borderId="281" xfId="5" applyNumberFormat="1" applyFont="1" applyFill="1" applyBorder="1" applyProtection="1">
      <alignment horizontal="right" vertical="center" indent="1"/>
      <protection hidden="1"/>
    </xf>
    <xf numFmtId="6" fontId="75" fillId="22" borderId="222" xfId="5" applyNumberFormat="1" applyFont="1" applyFill="1" applyBorder="1" applyProtection="1">
      <alignment horizontal="right" vertical="center" indent="1"/>
      <protection hidden="1"/>
    </xf>
    <xf numFmtId="168" fontId="80" fillId="0" borderId="256" xfId="5" applyNumberFormat="1" applyFont="1" applyFill="1" applyBorder="1" applyProtection="1">
      <alignment horizontal="right" vertical="center" indent="1"/>
      <protection hidden="1"/>
    </xf>
    <xf numFmtId="168" fontId="80" fillId="0" borderId="248" xfId="5" applyNumberFormat="1" applyFont="1" applyFill="1" applyBorder="1" applyProtection="1">
      <alignment horizontal="right" vertical="center" indent="1"/>
      <protection hidden="1"/>
    </xf>
    <xf numFmtId="168" fontId="80" fillId="0" borderId="266" xfId="5" applyNumberFormat="1" applyFont="1" applyFill="1" applyBorder="1" applyProtection="1">
      <alignment horizontal="right" vertical="center" indent="1"/>
      <protection hidden="1"/>
    </xf>
    <xf numFmtId="168" fontId="80" fillId="0" borderId="269" xfId="5" applyNumberFormat="1" applyFont="1" applyFill="1" applyBorder="1" applyProtection="1">
      <alignment horizontal="right" vertical="center" indent="1"/>
      <protection hidden="1"/>
    </xf>
    <xf numFmtId="0" fontId="3" fillId="3" borderId="264" xfId="5" applyFont="1" applyFill="1" applyBorder="1" applyAlignment="1" applyProtection="1">
      <alignment horizontal="center" vertical="center"/>
      <protection hidden="1"/>
    </xf>
    <xf numFmtId="3" fontId="15" fillId="0" borderId="255" xfId="5" applyNumberFormat="1" applyFont="1" applyFill="1" applyBorder="1" applyProtection="1">
      <alignment horizontal="right" vertical="center" indent="1"/>
      <protection hidden="1"/>
    </xf>
    <xf numFmtId="166" fontId="15" fillId="8" borderId="247" xfId="5" applyNumberFormat="1" applyFont="1" applyFill="1" applyBorder="1" applyAlignment="1" applyProtection="1">
      <alignment horizontal="center" vertical="center" wrapText="1"/>
      <protection locked="0" hidden="1"/>
    </xf>
    <xf numFmtId="166" fontId="15" fillId="8" borderId="247" xfId="5" applyNumberFormat="1" applyFont="1" applyFill="1" applyBorder="1" applyAlignment="1" applyProtection="1">
      <alignment horizontal="center" vertical="center" wrapText="1"/>
      <protection hidden="1"/>
    </xf>
    <xf numFmtId="166" fontId="15" fillId="8" borderId="247" xfId="0" applyNumberFormat="1" applyFont="1" applyFill="1" applyBorder="1" applyAlignment="1" applyProtection="1">
      <alignment horizontal="center" vertical="center"/>
      <protection locked="0" hidden="1"/>
    </xf>
    <xf numFmtId="166" fontId="15" fillId="8" borderId="260" xfId="0" applyNumberFormat="1" applyFont="1" applyFill="1" applyBorder="1" applyAlignment="1" applyProtection="1">
      <alignment horizontal="center" vertical="center"/>
      <protection locked="0" hidden="1"/>
    </xf>
    <xf numFmtId="176" fontId="70" fillId="8" borderId="440" xfId="0" applyNumberFormat="1" applyFont="1" applyFill="1" applyBorder="1" applyAlignment="1" applyProtection="1">
      <alignment horizontal="center" vertical="center"/>
      <protection locked="0" hidden="1"/>
    </xf>
    <xf numFmtId="176" fontId="70" fillId="8" borderId="429" xfId="0" applyNumberFormat="1" applyFont="1" applyFill="1" applyBorder="1" applyAlignment="1" applyProtection="1">
      <alignment horizontal="center" vertical="center"/>
      <protection locked="0" hidden="1"/>
    </xf>
    <xf numFmtId="0" fontId="8" fillId="3" borderId="253" xfId="4" applyFont="1" applyFill="1" applyBorder="1" applyProtection="1">
      <alignment horizontal="left" vertical="center" indent="1"/>
      <protection hidden="1"/>
    </xf>
    <xf numFmtId="0" fontId="8" fillId="3" borderId="0" xfId="4" applyFont="1" applyFill="1" applyBorder="1" applyProtection="1">
      <alignment horizontal="left" vertical="center" indent="1"/>
      <protection hidden="1"/>
    </xf>
    <xf numFmtId="176" fontId="70" fillId="8" borderId="438" xfId="0" applyNumberFormat="1" applyFont="1" applyFill="1" applyBorder="1" applyAlignment="1" applyProtection="1">
      <alignment horizontal="center" vertical="center"/>
      <protection locked="0" hidden="1"/>
    </xf>
    <xf numFmtId="176" fontId="70" fillId="8" borderId="265" xfId="0" applyNumberFormat="1" applyFont="1" applyFill="1" applyBorder="1" applyAlignment="1" applyProtection="1">
      <alignment horizontal="center" vertical="center"/>
      <protection locked="0" hidden="1"/>
    </xf>
    <xf numFmtId="0" fontId="15" fillId="3" borderId="432" xfId="0" applyFont="1" applyFill="1" applyBorder="1" applyAlignment="1" applyProtection="1">
      <alignment horizontal="left" vertical="center" indent="1"/>
      <protection hidden="1"/>
    </xf>
    <xf numFmtId="0" fontId="15" fillId="3" borderId="433" xfId="0" applyFont="1" applyFill="1" applyBorder="1" applyAlignment="1" applyProtection="1">
      <alignment horizontal="left" vertical="center" indent="1"/>
      <protection hidden="1"/>
    </xf>
    <xf numFmtId="0" fontId="15" fillId="3" borderId="431" xfId="0" applyFont="1" applyFill="1" applyBorder="1" applyAlignment="1" applyProtection="1">
      <alignment horizontal="left" vertical="center" indent="1"/>
      <protection hidden="1"/>
    </xf>
    <xf numFmtId="0" fontId="15" fillId="3" borderId="434" xfId="0" applyFont="1" applyFill="1" applyBorder="1" applyAlignment="1" applyProtection="1">
      <alignment horizontal="left" vertical="center" indent="1"/>
      <protection hidden="1"/>
    </xf>
    <xf numFmtId="6" fontId="15" fillId="3" borderId="137" xfId="0" applyNumberFormat="1" applyFont="1" applyFill="1" applyBorder="1" applyAlignment="1" applyProtection="1">
      <alignment horizontal="center" vertical="center"/>
      <protection hidden="1"/>
    </xf>
    <xf numFmtId="0" fontId="15" fillId="3" borderId="293" xfId="0" applyFont="1" applyFill="1" applyBorder="1" applyAlignment="1" applyProtection="1">
      <alignment horizontal="center" vertical="center"/>
      <protection hidden="1"/>
    </xf>
    <xf numFmtId="6" fontId="15" fillId="3" borderId="75" xfId="0" applyNumberFormat="1" applyFont="1" applyFill="1" applyBorder="1" applyAlignment="1" applyProtection="1">
      <alignment horizontal="center" vertical="center"/>
      <protection hidden="1"/>
    </xf>
    <xf numFmtId="0" fontId="15" fillId="3" borderId="272" xfId="0" applyFont="1" applyFill="1" applyBorder="1" applyAlignment="1" applyProtection="1">
      <alignment horizontal="center" vertical="center"/>
      <protection hidden="1"/>
    </xf>
    <xf numFmtId="0" fontId="2" fillId="3" borderId="271" xfId="0" applyFont="1" applyFill="1" applyBorder="1" applyAlignment="1" applyProtection="1">
      <alignment horizontal="left" vertical="center" indent="1"/>
      <protection hidden="1"/>
    </xf>
    <xf numFmtId="0" fontId="2" fillId="3" borderId="273" xfId="0" applyFont="1" applyFill="1" applyBorder="1" applyAlignment="1" applyProtection="1">
      <alignment horizontal="left" vertical="center" indent="1"/>
      <protection hidden="1"/>
    </xf>
    <xf numFmtId="6" fontId="75" fillId="22" borderId="271" xfId="5" applyNumberFormat="1" applyFont="1" applyFill="1" applyBorder="1" applyProtection="1">
      <alignment horizontal="right" vertical="center" indent="1"/>
      <protection hidden="1"/>
    </xf>
    <xf numFmtId="6" fontId="75" fillId="22" borderId="276" xfId="5" applyNumberFormat="1" applyFont="1" applyFill="1" applyBorder="1" applyProtection="1">
      <alignment horizontal="right" vertical="center" indent="1"/>
      <protection hidden="1"/>
    </xf>
    <xf numFmtId="6" fontId="15" fillId="8" borderId="260" xfId="5" applyNumberFormat="1" applyFont="1" applyFill="1" applyBorder="1" applyProtection="1">
      <alignment horizontal="right" vertical="center" indent="1"/>
      <protection locked="0" hidden="1"/>
    </xf>
    <xf numFmtId="166" fontId="15" fillId="3" borderId="256" xfId="5" applyNumberFormat="1" applyFont="1" applyFill="1" applyBorder="1" applyProtection="1">
      <alignment horizontal="right" vertical="center" indent="1"/>
      <protection hidden="1"/>
    </xf>
    <xf numFmtId="166" fontId="15" fillId="3" borderId="248" xfId="5" applyNumberFormat="1" applyFont="1" applyFill="1" applyBorder="1" applyProtection="1">
      <alignment horizontal="right" vertical="center" indent="1"/>
      <protection hidden="1"/>
    </xf>
    <xf numFmtId="0" fontId="15" fillId="7" borderId="191" xfId="0" applyFont="1" applyFill="1" applyBorder="1" applyAlignment="1" applyProtection="1">
      <alignment horizontal="center" vertical="center"/>
      <protection locked="0" hidden="1"/>
    </xf>
    <xf numFmtId="0" fontId="15" fillId="7" borderId="192" xfId="0" applyFont="1" applyFill="1" applyBorder="1" applyAlignment="1" applyProtection="1">
      <alignment horizontal="center" vertical="center"/>
      <protection locked="0" hidden="1"/>
    </xf>
    <xf numFmtId="0" fontId="15" fillId="7" borderId="193" xfId="0" applyFont="1" applyFill="1" applyBorder="1" applyAlignment="1" applyProtection="1">
      <alignment horizontal="center" vertical="center"/>
      <protection locked="0" hidden="1"/>
    </xf>
    <xf numFmtId="0" fontId="36" fillId="2" borderId="0" xfId="0" applyFont="1" applyFill="1" applyAlignment="1" applyProtection="1">
      <alignment horizontal="center" vertical="center"/>
      <protection hidden="1"/>
    </xf>
    <xf numFmtId="3" fontId="15" fillId="3" borderId="282" xfId="4" applyNumberFormat="1" applyFont="1" applyFill="1" applyBorder="1" applyProtection="1">
      <alignment horizontal="left" vertical="center" indent="1"/>
      <protection hidden="1"/>
    </xf>
    <xf numFmtId="3" fontId="15" fillId="3" borderId="18" xfId="4" applyNumberFormat="1" applyFont="1" applyFill="1" applyBorder="1" applyProtection="1">
      <alignment horizontal="left" vertical="center" indent="1"/>
      <protection hidden="1"/>
    </xf>
    <xf numFmtId="6" fontId="15" fillId="8" borderId="255" xfId="5" applyNumberFormat="1" applyFont="1" applyFill="1" applyBorder="1" applyProtection="1">
      <alignment horizontal="right" vertical="center" indent="1"/>
      <protection locked="0" hidden="1"/>
    </xf>
    <xf numFmtId="6" fontId="15" fillId="8" borderId="256" xfId="5" applyNumberFormat="1" applyFont="1" applyFill="1" applyBorder="1" applyProtection="1">
      <alignment horizontal="right" vertical="center" indent="1"/>
      <protection locked="0" hidden="1"/>
    </xf>
    <xf numFmtId="6" fontId="15" fillId="8" borderId="300" xfId="5" applyNumberFormat="1" applyFont="1" applyFill="1" applyBorder="1" applyProtection="1">
      <alignment horizontal="right" vertical="center" indent="1"/>
      <protection locked="0" hidden="1"/>
    </xf>
    <xf numFmtId="6" fontId="15" fillId="8" borderId="293" xfId="5" applyNumberFormat="1" applyFont="1" applyFill="1" applyBorder="1" applyProtection="1">
      <alignment horizontal="right" vertical="center" indent="1"/>
      <protection locked="0" hidden="1"/>
    </xf>
    <xf numFmtId="6" fontId="15" fillId="8" borderId="261" xfId="5" applyNumberFormat="1" applyFont="1" applyFill="1" applyBorder="1" applyProtection="1">
      <alignment horizontal="right" vertical="center" indent="1"/>
      <protection locked="0" hidden="1"/>
    </xf>
    <xf numFmtId="6" fontId="15" fillId="8" borderId="262" xfId="5" applyNumberFormat="1" applyFont="1" applyFill="1" applyBorder="1" applyProtection="1">
      <alignment horizontal="right" vertical="center" indent="1"/>
      <protection locked="0" hidden="1"/>
    </xf>
    <xf numFmtId="0" fontId="0" fillId="3" borderId="196" xfId="5" applyFont="1" applyFill="1" applyBorder="1" applyProtection="1">
      <alignment horizontal="right" vertical="center" indent="1"/>
      <protection hidden="1"/>
    </xf>
    <xf numFmtId="0" fontId="2" fillId="3" borderId="268" xfId="4" applyFont="1" applyFill="1" applyBorder="1" applyProtection="1">
      <alignment horizontal="left" vertical="center" indent="1"/>
      <protection hidden="1"/>
    </xf>
    <xf numFmtId="0" fontId="2" fillId="3" borderId="269" xfId="4" applyFont="1" applyFill="1" applyBorder="1" applyProtection="1">
      <alignment horizontal="left" vertical="center" indent="1"/>
      <protection hidden="1"/>
    </xf>
    <xf numFmtId="0" fontId="0" fillId="3" borderId="281" xfId="0" applyFill="1" applyBorder="1" applyAlignment="1" applyProtection="1">
      <alignment horizontal="left" vertical="center" indent="11"/>
      <protection hidden="1"/>
    </xf>
    <xf numFmtId="3" fontId="15" fillId="0" borderId="255" xfId="4" applyNumberFormat="1" applyFont="1" applyFill="1" applyBorder="1" applyProtection="1">
      <alignment horizontal="left" vertical="center" indent="1"/>
      <protection hidden="1"/>
    </xf>
    <xf numFmtId="3" fontId="15" fillId="0" borderId="256" xfId="4" applyNumberFormat="1" applyFont="1" applyFill="1" applyBorder="1" applyProtection="1">
      <alignment horizontal="left" vertical="center" indent="1"/>
      <protection hidden="1"/>
    </xf>
    <xf numFmtId="0" fontId="0" fillId="3" borderId="248" xfId="0" applyFill="1" applyBorder="1" applyAlignment="1" applyProtection="1">
      <alignment horizontal="left" vertical="center" indent="6"/>
      <protection hidden="1"/>
    </xf>
    <xf numFmtId="3" fontId="15" fillId="0" borderId="284" xfId="4" applyNumberFormat="1" applyFont="1" applyFill="1" applyBorder="1" applyProtection="1">
      <alignment horizontal="left" vertical="center" indent="1"/>
      <protection hidden="1"/>
    </xf>
    <xf numFmtId="3" fontId="15" fillId="0" borderId="77" xfId="4" applyNumberFormat="1" applyFont="1" applyFill="1" applyBorder="1" applyProtection="1">
      <alignment horizontal="left" vertical="center" indent="1"/>
      <protection hidden="1"/>
    </xf>
    <xf numFmtId="0" fontId="28" fillId="3" borderId="18" xfId="4" applyFont="1" applyFill="1" applyBorder="1" applyProtection="1">
      <alignment horizontal="left" vertical="center" indent="1"/>
      <protection hidden="1"/>
    </xf>
    <xf numFmtId="0" fontId="28" fillId="3" borderId="72" xfId="4" applyFont="1" applyFill="1" applyBorder="1" applyProtection="1">
      <alignment horizontal="left" vertical="center" indent="1"/>
      <protection hidden="1"/>
    </xf>
    <xf numFmtId="0" fontId="28" fillId="3" borderId="77" xfId="4" applyFont="1" applyFill="1" applyBorder="1" applyProtection="1">
      <alignment horizontal="left" vertical="center" indent="1"/>
      <protection hidden="1"/>
    </xf>
    <xf numFmtId="0" fontId="28" fillId="3" borderId="214" xfId="4" applyFont="1" applyFill="1" applyBorder="1" applyProtection="1">
      <alignment horizontal="left" vertical="center" indent="1"/>
      <protection hidden="1"/>
    </xf>
    <xf numFmtId="6" fontId="76" fillId="22" borderId="261" xfId="5" applyNumberFormat="1" applyFont="1" applyFill="1" applyBorder="1" applyProtection="1">
      <alignment horizontal="right" vertical="center" indent="1"/>
      <protection hidden="1"/>
    </xf>
    <xf numFmtId="6" fontId="76" fillId="22" borderId="263" xfId="5" applyNumberFormat="1" applyFont="1" applyFill="1" applyBorder="1" applyProtection="1">
      <alignment horizontal="right" vertical="center" indent="1"/>
      <protection hidden="1"/>
    </xf>
    <xf numFmtId="6" fontId="75" fillId="22" borderId="267" xfId="5" applyNumberFormat="1" applyFont="1" applyFill="1" applyBorder="1" applyProtection="1">
      <alignment horizontal="right" vertical="center" indent="1"/>
      <protection hidden="1"/>
    </xf>
    <xf numFmtId="6" fontId="75" fillId="22" borderId="211" xfId="5" applyNumberFormat="1" applyFont="1" applyFill="1" applyBorder="1" applyProtection="1">
      <alignment horizontal="right" vertical="center" indent="1"/>
      <protection hidden="1"/>
    </xf>
    <xf numFmtId="6" fontId="76" fillId="22" borderId="249" xfId="5" applyNumberFormat="1" applyFont="1" applyFill="1" applyBorder="1" applyProtection="1">
      <alignment horizontal="right" vertical="center" indent="1"/>
      <protection hidden="1"/>
    </xf>
    <xf numFmtId="6" fontId="76" fillId="22" borderId="209" xfId="5" applyNumberFormat="1" applyFont="1" applyFill="1" applyBorder="1" applyProtection="1">
      <alignment horizontal="right" vertical="center" indent="1"/>
      <protection hidden="1"/>
    </xf>
    <xf numFmtId="6" fontId="76" fillId="22" borderId="282" xfId="5" applyNumberFormat="1" applyFont="1" applyFill="1" applyBorder="1" applyProtection="1">
      <alignment horizontal="right" vertical="center" indent="1"/>
      <protection hidden="1"/>
    </xf>
    <xf numFmtId="6" fontId="76" fillId="22" borderId="72" xfId="5" applyNumberFormat="1" applyFont="1" applyFill="1" applyBorder="1" applyProtection="1">
      <alignment horizontal="right" vertical="center" indent="1"/>
      <protection hidden="1"/>
    </xf>
    <xf numFmtId="3" fontId="15" fillId="0" borderId="261" xfId="4" applyNumberFormat="1" applyFont="1" applyFill="1" applyBorder="1" applyProtection="1">
      <alignment horizontal="left" vertical="center" indent="1"/>
      <protection hidden="1"/>
    </xf>
    <xf numFmtId="3" fontId="15" fillId="0" borderId="262" xfId="4" applyNumberFormat="1" applyFont="1" applyFill="1" applyBorder="1" applyProtection="1">
      <alignment horizontal="left" vertical="center" indent="1"/>
      <protection hidden="1"/>
    </xf>
    <xf numFmtId="164" fontId="15" fillId="6" borderId="275" xfId="5" applyNumberFormat="1" applyFont="1" applyFill="1" applyBorder="1" applyProtection="1">
      <alignment horizontal="right" vertical="center" indent="1"/>
      <protection locked="0" hidden="1"/>
    </xf>
    <xf numFmtId="164" fontId="15" fillId="6" borderId="256" xfId="5" applyNumberFormat="1" applyFont="1" applyFill="1" applyBorder="1" applyProtection="1">
      <alignment horizontal="right" vertical="center" indent="1"/>
      <protection locked="0" hidden="1"/>
    </xf>
    <xf numFmtId="164" fontId="15" fillId="6" borderId="265" xfId="5" applyNumberFormat="1" applyFont="1" applyFill="1" applyBorder="1" applyProtection="1">
      <alignment horizontal="right" vertical="center" indent="1"/>
      <protection locked="0" hidden="1"/>
    </xf>
    <xf numFmtId="164" fontId="15" fillId="6" borderId="246" xfId="5" applyNumberFormat="1" applyFont="1" applyFill="1" applyBorder="1" applyProtection="1">
      <alignment horizontal="right" vertical="center" indent="1"/>
      <protection locked="0" hidden="1"/>
    </xf>
    <xf numFmtId="164" fontId="15" fillId="6" borderId="264" xfId="5" applyNumberFormat="1" applyFont="1" applyFill="1" applyBorder="1" applyProtection="1">
      <alignment horizontal="right" vertical="center" indent="1"/>
      <protection locked="0" hidden="1"/>
    </xf>
    <xf numFmtId="164" fontId="15" fillId="6" borderId="262" xfId="5" applyNumberFormat="1" applyFont="1" applyFill="1" applyBorder="1" applyProtection="1">
      <alignment horizontal="right" vertical="center" indent="1"/>
      <protection locked="0" hidden="1"/>
    </xf>
    <xf numFmtId="3" fontId="15" fillId="0" borderId="260" xfId="4" applyNumberFormat="1" applyFont="1" applyFill="1" applyBorder="1" applyProtection="1">
      <alignment horizontal="left" vertical="center" indent="1"/>
      <protection hidden="1"/>
    </xf>
    <xf numFmtId="0" fontId="13" fillId="3" borderId="260" xfId="0" applyFont="1" applyFill="1" applyBorder="1" applyAlignment="1" applyProtection="1">
      <alignment horizontal="left" vertical="center" indent="1"/>
      <protection hidden="1"/>
    </xf>
    <xf numFmtId="0" fontId="13" fillId="3" borderId="247" xfId="0" applyFont="1" applyFill="1" applyBorder="1" applyAlignment="1" applyProtection="1">
      <alignment horizontal="left" vertical="center" indent="1"/>
      <protection hidden="1"/>
    </xf>
    <xf numFmtId="164" fontId="15" fillId="6" borderId="196" xfId="5" applyNumberFormat="1" applyFont="1" applyFill="1" applyBorder="1" applyProtection="1">
      <alignment horizontal="right" vertical="center" indent="1"/>
      <protection locked="0" hidden="1"/>
    </xf>
    <xf numFmtId="164" fontId="15" fillId="6" borderId="266" xfId="5" applyNumberFormat="1" applyFont="1" applyFill="1" applyBorder="1" applyProtection="1">
      <alignment horizontal="right" vertical="center" indent="1"/>
      <protection locked="0" hidden="1"/>
    </xf>
    <xf numFmtId="3" fontId="15" fillId="0" borderId="267" xfId="4" applyNumberFormat="1" applyFont="1" applyFill="1" applyBorder="1" applyProtection="1">
      <alignment horizontal="left" vertical="center" indent="1"/>
      <protection hidden="1"/>
    </xf>
    <xf numFmtId="3" fontId="15" fillId="0" borderId="266" xfId="4" applyNumberFormat="1" applyFont="1" applyFill="1" applyBorder="1" applyProtection="1">
      <alignment horizontal="left" vertical="center" indent="1"/>
      <protection hidden="1"/>
    </xf>
    <xf numFmtId="6" fontId="15" fillId="8" borderId="267" xfId="5" applyNumberFormat="1" applyFont="1" applyFill="1" applyBorder="1" applyProtection="1">
      <alignment horizontal="right" vertical="center" indent="1"/>
      <protection locked="0" hidden="1"/>
    </xf>
    <xf numFmtId="6" fontId="15" fillId="8" borderId="196" xfId="5" applyNumberFormat="1" applyFont="1" applyFill="1" applyBorder="1" applyProtection="1">
      <alignment horizontal="right" vertical="center" indent="1"/>
      <protection locked="0" hidden="1"/>
    </xf>
    <xf numFmtId="0" fontId="13" fillId="3" borderId="249" xfId="4" applyFont="1" applyFill="1" applyBorder="1" applyProtection="1">
      <alignment horizontal="left" vertical="center" indent="1"/>
      <protection hidden="1"/>
    </xf>
    <xf numFmtId="0" fontId="13" fillId="3" borderId="265" xfId="4" applyFont="1" applyFill="1" applyBorder="1" applyProtection="1">
      <alignment horizontal="left" vertical="center" indent="1"/>
      <protection hidden="1"/>
    </xf>
    <xf numFmtId="0" fontId="13" fillId="3" borderId="261" xfId="4" applyFont="1" applyFill="1" applyBorder="1" applyProtection="1">
      <alignment horizontal="left" vertical="center" indent="1"/>
      <protection hidden="1"/>
    </xf>
    <xf numFmtId="0" fontId="13" fillId="3" borderId="264" xfId="4" applyFont="1" applyFill="1" applyBorder="1" applyProtection="1">
      <alignment horizontal="left" vertical="center" indent="1"/>
      <protection hidden="1"/>
    </xf>
    <xf numFmtId="0" fontId="13" fillId="3" borderId="267" xfId="4" applyFont="1" applyFill="1" applyBorder="1" applyProtection="1">
      <alignment horizontal="left" vertical="center" indent="1"/>
      <protection hidden="1"/>
    </xf>
    <xf numFmtId="0" fontId="13" fillId="3" borderId="196" xfId="4" applyFont="1" applyFill="1" applyBorder="1" applyProtection="1">
      <alignment horizontal="left" vertical="center" indent="1"/>
      <protection hidden="1"/>
    </xf>
    <xf numFmtId="3" fontId="15" fillId="0" borderId="248" xfId="4" applyNumberFormat="1" applyFont="1" applyFill="1" applyBorder="1" applyProtection="1">
      <alignment horizontal="left" vertical="center" indent="1"/>
      <protection hidden="1"/>
    </xf>
    <xf numFmtId="0" fontId="132" fillId="10" borderId="77" xfId="0" applyFont="1" applyFill="1" applyBorder="1" applyAlignment="1" applyProtection="1">
      <alignment horizontal="left" vertical="center"/>
      <protection hidden="1"/>
    </xf>
    <xf numFmtId="0" fontId="2" fillId="3" borderId="219" xfId="0" applyFont="1" applyFill="1" applyBorder="1" applyAlignment="1" applyProtection="1">
      <alignment horizontal="left" vertical="center" indent="1"/>
      <protection hidden="1"/>
    </xf>
    <xf numFmtId="0" fontId="2" fillId="3" borderId="210" xfId="0" applyFont="1" applyFill="1" applyBorder="1" applyAlignment="1" applyProtection="1">
      <alignment horizontal="left" vertical="center" indent="1"/>
      <protection hidden="1"/>
    </xf>
    <xf numFmtId="0" fontId="2" fillId="3" borderId="195" xfId="0" applyFont="1" applyFill="1" applyBorder="1" applyAlignment="1" applyProtection="1">
      <alignment horizontal="left" vertical="center" indent="1"/>
      <protection hidden="1"/>
    </xf>
    <xf numFmtId="9" fontId="122" fillId="0" borderId="248" xfId="5" applyNumberFormat="1" applyFont="1" applyFill="1" applyBorder="1" applyAlignment="1" applyProtection="1">
      <alignment horizontal="right" vertical="center" wrapText="1" indent="1"/>
      <protection hidden="1"/>
    </xf>
    <xf numFmtId="9" fontId="122" fillId="0" borderId="248" xfId="5" applyNumberFormat="1" applyFont="1" applyFill="1" applyBorder="1" applyProtection="1">
      <alignment horizontal="right" vertical="center" indent="1"/>
      <protection hidden="1"/>
    </xf>
    <xf numFmtId="9" fontId="122" fillId="0" borderId="260" xfId="5" applyNumberFormat="1" applyFont="1" applyFill="1" applyBorder="1" applyProtection="1">
      <alignment horizontal="right" vertical="center" indent="1"/>
      <protection hidden="1"/>
    </xf>
    <xf numFmtId="166" fontId="15" fillId="6" borderId="248" xfId="5" applyNumberFormat="1" applyFont="1" applyFill="1" applyBorder="1" applyAlignment="1" applyProtection="1">
      <alignment horizontal="center" vertical="center"/>
      <protection locked="0" hidden="1"/>
    </xf>
    <xf numFmtId="166" fontId="15" fillId="6" borderId="260" xfId="5" applyNumberFormat="1" applyFont="1" applyFill="1" applyBorder="1" applyAlignment="1" applyProtection="1">
      <alignment horizontal="center" vertical="center"/>
      <protection locked="0" hidden="1"/>
    </xf>
    <xf numFmtId="172" fontId="15" fillId="6" borderId="260" xfId="5" applyNumberFormat="1" applyFont="1" applyFill="1" applyBorder="1" applyProtection="1">
      <alignment horizontal="right" vertical="center" indent="1"/>
      <protection locked="0" hidden="1"/>
    </xf>
    <xf numFmtId="0" fontId="8" fillId="3" borderId="248" xfId="0" applyFont="1" applyFill="1" applyBorder="1" applyAlignment="1" applyProtection="1">
      <alignment horizontal="left" vertical="center" indent="1"/>
      <protection hidden="1"/>
    </xf>
    <xf numFmtId="0" fontId="8" fillId="3" borderId="255" xfId="0" applyFont="1" applyFill="1" applyBorder="1" applyAlignment="1" applyProtection="1">
      <alignment horizontal="left" vertical="center" indent="1"/>
      <protection hidden="1"/>
    </xf>
    <xf numFmtId="0" fontId="0" fillId="6" borderId="248" xfId="0" applyFill="1" applyBorder="1" applyAlignment="1" applyProtection="1">
      <alignment horizontal="left" vertical="center" indent="1"/>
      <protection locked="0"/>
    </xf>
    <xf numFmtId="0" fontId="81" fillId="3" borderId="260" xfId="0" applyFont="1" applyFill="1" applyBorder="1" applyAlignment="1" applyProtection="1">
      <alignment horizontal="right" vertical="center" indent="1"/>
      <protection hidden="1"/>
    </xf>
    <xf numFmtId="0" fontId="2" fillId="22" borderId="0" xfId="0" applyFont="1" applyFill="1" applyAlignment="1" applyProtection="1">
      <alignment horizontal="left" vertical="center" indent="1"/>
      <protection hidden="1"/>
    </xf>
    <xf numFmtId="6" fontId="15" fillId="8" borderId="248" xfId="5" applyNumberFormat="1" applyFont="1" applyFill="1" applyBorder="1" applyProtection="1">
      <alignment horizontal="right" vertical="center" indent="1"/>
      <protection locked="0" hidden="1"/>
    </xf>
    <xf numFmtId="0" fontId="13" fillId="3" borderId="271" xfId="0" applyFont="1" applyFill="1" applyBorder="1" applyAlignment="1" applyProtection="1">
      <alignment horizontal="left" vertical="center" indent="1"/>
      <protection hidden="1"/>
    </xf>
    <xf numFmtId="0" fontId="15" fillId="22" borderId="499" xfId="0" applyFont="1" applyFill="1" applyBorder="1" applyAlignment="1" applyProtection="1">
      <alignment horizontal="left" vertical="center" indent="1"/>
      <protection hidden="1"/>
    </xf>
    <xf numFmtId="6" fontId="15" fillId="22" borderId="499" xfId="5" applyNumberFormat="1" applyFont="1" applyFill="1" applyBorder="1" applyProtection="1">
      <alignment horizontal="right" vertical="center" indent="1"/>
      <protection hidden="1"/>
    </xf>
    <xf numFmtId="3" fontId="75" fillId="3" borderId="267" xfId="4" applyNumberFormat="1" applyFont="1" applyFill="1" applyBorder="1" applyProtection="1">
      <alignment horizontal="left" vertical="center" indent="1"/>
      <protection hidden="1"/>
    </xf>
    <xf numFmtId="3" fontId="75" fillId="3" borderId="196" xfId="4" applyNumberFormat="1" applyFont="1" applyFill="1" applyBorder="1" applyProtection="1">
      <alignment horizontal="left" vertical="center" indent="1"/>
      <protection hidden="1"/>
    </xf>
    <xf numFmtId="164" fontId="75" fillId="22" borderId="387" xfId="5" applyNumberFormat="1" applyFont="1" applyFill="1" applyBorder="1" applyAlignment="1" applyProtection="1">
      <alignment horizontal="center" vertical="center"/>
      <protection hidden="1"/>
    </xf>
    <xf numFmtId="164" fontId="75" fillId="22" borderId="388" xfId="5" applyNumberFormat="1" applyFont="1" applyFill="1" applyBorder="1" applyAlignment="1" applyProtection="1">
      <alignment horizontal="center" vertical="center"/>
      <protection hidden="1"/>
    </xf>
    <xf numFmtId="164" fontId="0" fillId="6" borderId="426" xfId="5" applyNumberFormat="1" applyFont="1" applyFill="1" applyBorder="1" applyAlignment="1" applyProtection="1">
      <alignment horizontal="center" vertical="center"/>
      <protection locked="0" hidden="1"/>
    </xf>
    <xf numFmtId="164" fontId="0" fillId="6" borderId="427" xfId="5" applyNumberFormat="1" applyFont="1" applyFill="1" applyBorder="1" applyAlignment="1" applyProtection="1">
      <alignment horizontal="center" vertical="center"/>
      <protection locked="0" hidden="1"/>
    </xf>
    <xf numFmtId="164" fontId="15" fillId="6" borderId="249" xfId="5" applyNumberFormat="1" applyFont="1" applyFill="1" applyBorder="1" applyProtection="1">
      <alignment horizontal="right" vertical="center" indent="1"/>
      <protection locked="0" hidden="1"/>
    </xf>
    <xf numFmtId="164" fontId="15" fillId="6" borderId="261" xfId="5" applyNumberFormat="1" applyFont="1" applyFill="1" applyBorder="1" applyProtection="1">
      <alignment horizontal="right" vertical="center" indent="1"/>
      <protection locked="0" hidden="1"/>
    </xf>
    <xf numFmtId="0" fontId="15" fillId="3" borderId="278" xfId="4" applyFont="1" applyFill="1" applyBorder="1" applyAlignment="1" applyProtection="1">
      <alignment horizontal="center" vertical="center"/>
      <protection hidden="1"/>
    </xf>
    <xf numFmtId="0" fontId="15" fillId="3" borderId="289" xfId="4" applyFont="1" applyFill="1" applyBorder="1" applyAlignment="1" applyProtection="1">
      <alignment horizontal="center" vertical="center"/>
      <protection hidden="1"/>
    </xf>
    <xf numFmtId="0" fontId="13" fillId="6" borderId="249" xfId="5" applyFont="1" applyFill="1" applyBorder="1" applyAlignment="1" applyProtection="1">
      <alignment horizontal="center" vertical="center"/>
      <protection locked="0"/>
    </xf>
    <xf numFmtId="0" fontId="13" fillId="6" borderId="265" xfId="5" applyFont="1" applyFill="1" applyBorder="1" applyAlignment="1" applyProtection="1">
      <alignment horizontal="center" vertical="center"/>
      <protection locked="0"/>
    </xf>
    <xf numFmtId="0" fontId="13" fillId="6" borderId="246" xfId="5" applyFont="1" applyFill="1" applyBorder="1" applyAlignment="1" applyProtection="1">
      <alignment horizontal="center" vertical="center"/>
      <protection locked="0"/>
    </xf>
    <xf numFmtId="0" fontId="13" fillId="3" borderId="262" xfId="5" applyFont="1" applyFill="1" applyBorder="1" applyProtection="1">
      <alignment horizontal="right" vertical="center" indent="1"/>
      <protection hidden="1"/>
    </xf>
    <xf numFmtId="0" fontId="13" fillId="3" borderId="260" xfId="5" applyFont="1" applyFill="1" applyBorder="1" applyProtection="1">
      <alignment horizontal="right" vertical="center" indent="1"/>
      <protection hidden="1"/>
    </xf>
    <xf numFmtId="0" fontId="13" fillId="3" borderId="261" xfId="5" applyFont="1" applyFill="1" applyBorder="1" applyProtection="1">
      <alignment horizontal="right" vertical="center" indent="1"/>
      <protection hidden="1"/>
    </xf>
    <xf numFmtId="0" fontId="37" fillId="3" borderId="368" xfId="4" applyFont="1" applyFill="1" applyBorder="1" applyProtection="1">
      <alignment horizontal="left" vertical="center" indent="1"/>
      <protection hidden="1"/>
    </xf>
    <xf numFmtId="0" fontId="37" fillId="3" borderId="360" xfId="4" applyFont="1" applyFill="1" applyBorder="1" applyProtection="1">
      <alignment horizontal="left" vertical="center" indent="1"/>
      <protection hidden="1"/>
    </xf>
    <xf numFmtId="0" fontId="37" fillId="3" borderId="362" xfId="4" applyFont="1" applyFill="1" applyBorder="1" applyProtection="1">
      <alignment horizontal="left" vertical="center" indent="1"/>
      <protection hidden="1"/>
    </xf>
    <xf numFmtId="0" fontId="37" fillId="3" borderId="75" xfId="4" applyFont="1" applyFill="1" applyBorder="1" applyProtection="1">
      <alignment horizontal="left" vertical="center" indent="1"/>
      <protection hidden="1"/>
    </xf>
    <xf numFmtId="0" fontId="37" fillId="3" borderId="272" xfId="4" applyFont="1" applyFill="1" applyBorder="1" applyProtection="1">
      <alignment horizontal="left" vertical="center" indent="1"/>
      <protection hidden="1"/>
    </xf>
    <xf numFmtId="0" fontId="15" fillId="6" borderId="261" xfId="4" applyFont="1" applyFill="1" applyBorder="1" applyProtection="1">
      <alignment horizontal="left" vertical="center" indent="1"/>
      <protection locked="0"/>
    </xf>
    <xf numFmtId="0" fontId="15" fillId="6" borderId="264" xfId="4" applyFont="1" applyFill="1" applyBorder="1" applyProtection="1">
      <alignment horizontal="left" vertical="center" indent="1"/>
      <protection locked="0"/>
    </xf>
    <xf numFmtId="0" fontId="15" fillId="6" borderId="262" xfId="4" applyFont="1" applyFill="1" applyBorder="1" applyProtection="1">
      <alignment horizontal="left" vertical="center" indent="1"/>
      <protection locked="0"/>
    </xf>
    <xf numFmtId="9" fontId="15" fillId="3" borderId="249" xfId="5" applyNumberFormat="1" applyFont="1" applyFill="1" applyBorder="1">
      <alignment horizontal="right" vertical="center" indent="1"/>
    </xf>
    <xf numFmtId="9" fontId="15" fillId="3" borderId="265" xfId="5" applyNumberFormat="1" applyFont="1" applyFill="1" applyBorder="1">
      <alignment horizontal="right" vertical="center" indent="1"/>
    </xf>
    <xf numFmtId="9" fontId="15" fillId="3" borderId="246" xfId="5" applyNumberFormat="1" applyFont="1" applyFill="1" applyBorder="1">
      <alignment horizontal="right" vertical="center" indent="1"/>
    </xf>
    <xf numFmtId="9" fontId="15" fillId="6" borderId="265" xfId="4" applyNumberFormat="1" applyFont="1" applyFill="1" applyBorder="1" applyProtection="1">
      <alignment horizontal="left" vertical="center" indent="1"/>
      <protection locked="0"/>
    </xf>
    <xf numFmtId="9" fontId="15" fillId="6" borderId="246" xfId="4" applyNumberFormat="1" applyFont="1" applyFill="1" applyBorder="1" applyProtection="1">
      <alignment horizontal="left" vertical="center" indent="1"/>
      <protection locked="0"/>
    </xf>
    <xf numFmtId="0" fontId="15" fillId="3" borderId="247" xfId="4" applyFont="1" applyFill="1" applyBorder="1" applyProtection="1">
      <alignment horizontal="left" vertical="center" indent="1"/>
      <protection hidden="1"/>
    </xf>
    <xf numFmtId="0" fontId="15" fillId="3" borderId="249" xfId="4" applyFont="1" applyFill="1" applyBorder="1" applyProtection="1">
      <alignment horizontal="left" vertical="center" indent="1"/>
      <protection hidden="1"/>
    </xf>
    <xf numFmtId="0" fontId="15" fillId="3" borderId="260" xfId="4" applyFont="1" applyFill="1" applyBorder="1" applyProtection="1">
      <alignment horizontal="left" vertical="center" indent="1"/>
      <protection hidden="1"/>
    </xf>
    <xf numFmtId="0" fontId="13" fillId="3" borderId="360" xfId="5" applyFont="1" applyFill="1" applyBorder="1" applyProtection="1">
      <alignment horizontal="right" vertical="center" indent="1"/>
      <protection hidden="1"/>
    </xf>
    <xf numFmtId="0" fontId="13" fillId="3" borderId="362" xfId="5" applyFont="1" applyFill="1" applyBorder="1" applyProtection="1">
      <alignment horizontal="right" vertical="center" indent="1"/>
      <protection hidden="1"/>
    </xf>
    <xf numFmtId="0" fontId="13" fillId="3" borderId="264" xfId="5" applyFont="1" applyFill="1" applyBorder="1" applyProtection="1">
      <alignment horizontal="right" vertical="center" indent="1"/>
      <protection hidden="1"/>
    </xf>
    <xf numFmtId="0" fontId="99" fillId="3" borderId="249" xfId="5" applyFont="1" applyFill="1" applyBorder="1" applyProtection="1">
      <alignment horizontal="right" vertical="center" indent="1"/>
      <protection hidden="1"/>
    </xf>
    <xf numFmtId="0" fontId="99" fillId="3" borderId="246" xfId="5" applyFont="1" applyFill="1" applyBorder="1" applyProtection="1">
      <alignment horizontal="right" vertical="center" indent="1"/>
      <protection hidden="1"/>
    </xf>
    <xf numFmtId="0" fontId="13" fillId="3" borderId="253" xfId="5" applyFont="1" applyFill="1" applyBorder="1" applyAlignment="1" applyProtection="1">
      <alignment horizontal="center" vertical="center"/>
      <protection hidden="1"/>
    </xf>
    <xf numFmtId="0" fontId="13" fillId="3" borderId="0" xfId="5" applyFont="1" applyFill="1" applyBorder="1" applyAlignment="1" applyProtection="1">
      <alignment horizontal="center" vertical="center"/>
      <protection hidden="1"/>
    </xf>
    <xf numFmtId="0" fontId="13" fillId="3" borderId="252" xfId="5" applyFont="1" applyFill="1" applyBorder="1" applyAlignment="1" applyProtection="1">
      <alignment horizontal="center" vertical="center"/>
      <protection hidden="1"/>
    </xf>
    <xf numFmtId="0" fontId="13" fillId="6" borderId="300" xfId="5" applyFont="1" applyFill="1" applyBorder="1" applyAlignment="1" applyProtection="1">
      <alignment horizontal="center" vertical="center"/>
      <protection locked="0"/>
    </xf>
    <xf numFmtId="0" fontId="13" fillId="6" borderId="137" xfId="5" applyFont="1" applyFill="1" applyBorder="1" applyAlignment="1" applyProtection="1">
      <alignment horizontal="center" vertical="center"/>
      <protection locked="0"/>
    </xf>
    <xf numFmtId="0" fontId="13" fillId="6" borderId="293" xfId="5" applyFont="1" applyFill="1" applyBorder="1" applyAlignment="1" applyProtection="1">
      <alignment horizontal="center" vertical="center"/>
      <protection locked="0"/>
    </xf>
    <xf numFmtId="0" fontId="13" fillId="6" borderId="261" xfId="5" applyFont="1" applyFill="1" applyBorder="1" applyAlignment="1" applyProtection="1">
      <alignment horizontal="center" vertical="center"/>
      <protection locked="0"/>
    </xf>
    <xf numFmtId="0" fontId="13" fillId="6" borderId="264" xfId="5" applyFont="1" applyFill="1" applyBorder="1" applyAlignment="1" applyProtection="1">
      <alignment horizontal="center" vertical="center"/>
      <protection locked="0"/>
    </xf>
    <xf numFmtId="0" fontId="13" fillId="6" borderId="262" xfId="5" applyFont="1" applyFill="1" applyBorder="1" applyAlignment="1" applyProtection="1">
      <alignment horizontal="center" vertical="center"/>
      <protection locked="0"/>
    </xf>
    <xf numFmtId="0" fontId="13" fillId="3" borderId="275" xfId="5" applyFont="1" applyFill="1" applyBorder="1" applyProtection="1">
      <alignment horizontal="right" vertical="center" indent="1"/>
      <protection hidden="1"/>
    </xf>
    <xf numFmtId="6" fontId="2" fillId="0" borderId="255" xfId="0" applyNumberFormat="1" applyFont="1" applyBorder="1" applyAlignment="1" applyProtection="1">
      <alignment horizontal="center" vertical="center"/>
      <protection hidden="1"/>
    </xf>
    <xf numFmtId="6" fontId="2" fillId="0" borderId="275" xfId="0" applyNumberFormat="1" applyFont="1" applyBorder="1" applyAlignment="1" applyProtection="1">
      <alignment horizontal="center" vertical="center"/>
      <protection hidden="1"/>
    </xf>
    <xf numFmtId="0" fontId="13" fillId="3" borderId="255" xfId="5" applyFont="1" applyFill="1" applyBorder="1" applyProtection="1">
      <alignment horizontal="right" vertical="center" indent="1"/>
      <protection hidden="1"/>
    </xf>
    <xf numFmtId="0" fontId="13" fillId="3" borderId="256" xfId="5" applyFont="1" applyFill="1" applyBorder="1" applyProtection="1">
      <alignment horizontal="right" vertical="center" indent="1"/>
      <protection hidden="1"/>
    </xf>
    <xf numFmtId="0" fontId="15" fillId="3" borderId="258" xfId="4" applyFont="1" applyFill="1" applyBorder="1" applyAlignment="1" applyProtection="1">
      <alignment horizontal="center" vertical="center"/>
      <protection hidden="1"/>
    </xf>
    <xf numFmtId="0" fontId="15" fillId="3" borderId="261" xfId="4" applyFont="1" applyFill="1" applyBorder="1" applyProtection="1">
      <alignment horizontal="left" vertical="center" indent="1"/>
      <protection hidden="1"/>
    </xf>
    <xf numFmtId="0" fontId="13" fillId="6" borderId="75" xfId="0" applyFont="1" applyFill="1" applyBorder="1" applyAlignment="1" applyProtection="1">
      <alignment horizontal="center" vertical="center"/>
      <protection locked="0"/>
    </xf>
    <xf numFmtId="0" fontId="13" fillId="6" borderId="272" xfId="0" applyFont="1" applyFill="1" applyBorder="1" applyAlignment="1" applyProtection="1">
      <alignment horizontal="center" vertical="center"/>
      <protection locked="0"/>
    </xf>
    <xf numFmtId="164" fontId="13" fillId="6" borderId="265" xfId="0" applyNumberFormat="1" applyFont="1" applyFill="1" applyBorder="1" applyAlignment="1" applyProtection="1">
      <alignment horizontal="center" vertical="center"/>
      <protection locked="0"/>
    </xf>
    <xf numFmtId="164" fontId="13" fillId="6" borderId="246" xfId="0" applyNumberFormat="1" applyFont="1" applyFill="1" applyBorder="1" applyAlignment="1" applyProtection="1">
      <alignment horizontal="center" vertical="center"/>
      <protection locked="0"/>
    </xf>
    <xf numFmtId="0" fontId="13" fillId="3" borderId="262" xfId="0" applyFont="1" applyFill="1" applyBorder="1" applyAlignment="1" applyProtection="1">
      <alignment horizontal="center" vertical="center"/>
      <protection hidden="1"/>
    </xf>
    <xf numFmtId="0" fontId="13" fillId="3" borderId="260" xfId="0" applyFont="1" applyFill="1" applyBorder="1" applyAlignment="1" applyProtection="1">
      <alignment horizontal="center" vertical="center"/>
      <protection hidden="1"/>
    </xf>
    <xf numFmtId="0" fontId="15" fillId="3" borderId="300" xfId="4" applyFont="1" applyFill="1" applyBorder="1" applyProtection="1">
      <alignment horizontal="left" vertical="center" indent="1"/>
      <protection hidden="1"/>
    </xf>
    <xf numFmtId="0" fontId="15" fillId="3" borderId="137" xfId="4" applyFont="1" applyFill="1" applyBorder="1" applyProtection="1">
      <alignment horizontal="left" vertical="center" indent="1"/>
      <protection hidden="1"/>
    </xf>
    <xf numFmtId="0" fontId="15" fillId="3" borderId="293" xfId="4" applyFont="1" applyFill="1" applyBorder="1" applyProtection="1">
      <alignment horizontal="left" vertical="center" indent="1"/>
      <protection hidden="1"/>
    </xf>
    <xf numFmtId="0" fontId="15" fillId="3" borderId="273" xfId="4" applyFont="1" applyFill="1" applyBorder="1" applyProtection="1">
      <alignment horizontal="left" vertical="center" indent="1"/>
      <protection hidden="1"/>
    </xf>
    <xf numFmtId="0" fontId="15" fillId="3" borderId="75" xfId="4" applyFont="1" applyFill="1" applyBorder="1" applyProtection="1">
      <alignment horizontal="left" vertical="center" indent="1"/>
      <protection hidden="1"/>
    </xf>
    <xf numFmtId="0" fontId="15" fillId="3" borderId="272" xfId="4" applyFont="1" applyFill="1" applyBorder="1" applyProtection="1">
      <alignment horizontal="left" vertical="center" indent="1"/>
      <protection hidden="1"/>
    </xf>
    <xf numFmtId="0" fontId="15" fillId="3" borderId="277" xfId="4" applyFont="1" applyFill="1" applyBorder="1" applyAlignment="1" applyProtection="1">
      <alignment horizontal="center" vertical="center"/>
      <protection hidden="1"/>
    </xf>
    <xf numFmtId="0" fontId="15" fillId="3" borderId="358" xfId="4" applyFont="1" applyFill="1" applyBorder="1" applyAlignment="1" applyProtection="1">
      <alignment horizontal="center" vertical="center"/>
      <protection hidden="1"/>
    </xf>
    <xf numFmtId="0" fontId="15" fillId="3" borderId="248" xfId="4" applyFont="1" applyFill="1" applyBorder="1" applyProtection="1">
      <alignment horizontal="left" vertical="center" indent="1"/>
      <protection hidden="1"/>
    </xf>
    <xf numFmtId="0" fontId="15" fillId="3" borderId="255" xfId="4" applyFont="1" applyFill="1" applyBorder="1" applyProtection="1">
      <alignment horizontal="left" vertical="center" indent="1"/>
      <protection hidden="1"/>
    </xf>
    <xf numFmtId="0" fontId="13" fillId="3" borderId="248" xfId="5" applyFont="1" applyFill="1" applyBorder="1" applyProtection="1">
      <alignment horizontal="right" vertical="center" indent="1"/>
      <protection hidden="1"/>
    </xf>
    <xf numFmtId="0" fontId="13" fillId="3" borderId="256" xfId="0" applyFont="1" applyFill="1" applyBorder="1" applyAlignment="1" applyProtection="1">
      <alignment horizontal="center" vertical="center"/>
      <protection hidden="1"/>
    </xf>
    <xf numFmtId="0" fontId="13" fillId="3" borderId="248" xfId="0" applyFont="1" applyFill="1" applyBorder="1" applyAlignment="1" applyProtection="1">
      <alignment horizontal="center" vertical="center"/>
      <protection hidden="1"/>
    </xf>
    <xf numFmtId="0" fontId="13" fillId="3" borderId="247" xfId="5" applyFont="1" applyFill="1" applyBorder="1" applyProtection="1">
      <alignment horizontal="right" vertical="center" indent="1"/>
      <protection hidden="1"/>
    </xf>
    <xf numFmtId="0" fontId="13" fillId="3" borderId="249" xfId="5" applyFont="1" applyFill="1" applyBorder="1" applyProtection="1">
      <alignment horizontal="right" vertical="center" indent="1"/>
      <protection hidden="1"/>
    </xf>
    <xf numFmtId="0" fontId="13" fillId="3" borderId="246" xfId="0" applyFont="1" applyFill="1" applyBorder="1" applyAlignment="1" applyProtection="1">
      <alignment horizontal="center" vertical="center"/>
      <protection hidden="1"/>
    </xf>
    <xf numFmtId="0" fontId="13" fillId="3" borderId="247" xfId="0" applyFont="1" applyFill="1" applyBorder="1" applyAlignment="1" applyProtection="1">
      <alignment horizontal="center" vertical="center"/>
      <protection hidden="1"/>
    </xf>
    <xf numFmtId="0" fontId="15" fillId="3" borderId="300" xfId="4" applyFont="1" applyFill="1" applyBorder="1" applyAlignment="1" applyProtection="1">
      <alignment horizontal="left" vertical="center" wrapText="1" indent="1"/>
      <protection hidden="1"/>
    </xf>
    <xf numFmtId="0" fontId="13" fillId="6" borderId="347" xfId="0" applyFont="1" applyFill="1" applyBorder="1" applyAlignment="1" applyProtection="1">
      <alignment horizontal="center" vertical="center"/>
      <protection locked="0"/>
    </xf>
    <xf numFmtId="0" fontId="13" fillId="6" borderId="379" xfId="0" applyFont="1" applyFill="1" applyBorder="1" applyAlignment="1" applyProtection="1">
      <alignment horizontal="center" vertical="center"/>
      <protection locked="0"/>
    </xf>
    <xf numFmtId="0" fontId="13" fillId="6" borderId="265" xfId="0" applyFont="1" applyFill="1" applyBorder="1" applyAlignment="1" applyProtection="1">
      <alignment horizontal="center" vertical="center"/>
      <protection locked="0"/>
    </xf>
    <xf numFmtId="0" fontId="13" fillId="6" borderId="246" xfId="0" applyFont="1" applyFill="1" applyBorder="1" applyAlignment="1" applyProtection="1">
      <alignment horizontal="center" vertical="center"/>
      <protection locked="0"/>
    </xf>
    <xf numFmtId="0" fontId="15" fillId="3" borderId="255" xfId="5" applyFont="1" applyFill="1" applyBorder="1" applyProtection="1">
      <alignment horizontal="right" vertical="center" indent="1"/>
      <protection hidden="1"/>
    </xf>
    <xf numFmtId="0" fontId="15" fillId="3" borderId="275" xfId="5" applyFont="1" applyFill="1" applyBorder="1" applyProtection="1">
      <alignment horizontal="right" vertical="center" indent="1"/>
      <protection hidden="1"/>
    </xf>
    <xf numFmtId="0" fontId="13" fillId="3" borderId="377" xfId="5" applyFont="1" applyFill="1" applyBorder="1" applyProtection="1">
      <alignment horizontal="right" vertical="center" indent="1"/>
      <protection hidden="1"/>
    </xf>
    <xf numFmtId="0" fontId="13" fillId="3" borderId="375" xfId="5" applyFont="1" applyFill="1" applyBorder="1" applyProtection="1">
      <alignment horizontal="right" vertical="center" indent="1"/>
      <protection hidden="1"/>
    </xf>
    <xf numFmtId="0" fontId="13" fillId="3" borderId="376" xfId="5" applyFont="1" applyFill="1" applyBorder="1" applyProtection="1">
      <alignment horizontal="right" vertical="center" indent="1"/>
      <protection hidden="1"/>
    </xf>
    <xf numFmtId="0" fontId="13" fillId="3" borderId="368" xfId="5" applyFont="1" applyFill="1" applyBorder="1" applyProtection="1">
      <alignment horizontal="right" vertical="center" indent="1"/>
      <protection hidden="1"/>
    </xf>
    <xf numFmtId="0" fontId="13" fillId="3" borderId="374" xfId="5" applyFont="1" applyFill="1" applyBorder="1" applyProtection="1">
      <alignment horizontal="right" vertical="center" indent="1"/>
      <protection hidden="1"/>
    </xf>
    <xf numFmtId="0" fontId="15" fillId="3" borderId="253" xfId="4" applyFont="1" applyFill="1" applyBorder="1" applyProtection="1">
      <alignment horizontal="left" vertical="center" indent="1"/>
      <protection hidden="1"/>
    </xf>
    <xf numFmtId="0" fontId="13" fillId="6" borderId="375" xfId="0" applyFont="1" applyFill="1" applyBorder="1" applyAlignment="1" applyProtection="1">
      <alignment horizontal="center" vertical="center"/>
      <protection locked="0"/>
    </xf>
    <xf numFmtId="0" fontId="13" fillId="6" borderId="378" xfId="0" applyFont="1" applyFill="1" applyBorder="1" applyAlignment="1" applyProtection="1">
      <alignment horizontal="center" vertical="center"/>
      <protection locked="0"/>
    </xf>
    <xf numFmtId="0" fontId="15" fillId="0" borderId="260" xfId="4" applyFont="1" applyFill="1" applyBorder="1" applyProtection="1">
      <alignment horizontal="left" vertical="center" indent="1"/>
      <protection hidden="1"/>
    </xf>
    <xf numFmtId="0" fontId="15" fillId="0" borderId="261" xfId="4" applyFont="1" applyFill="1" applyBorder="1" applyProtection="1">
      <alignment horizontal="left" vertical="center" indent="1"/>
      <protection hidden="1"/>
    </xf>
    <xf numFmtId="164" fontId="13" fillId="3" borderId="261" xfId="0" applyNumberFormat="1" applyFont="1" applyFill="1" applyBorder="1" applyAlignment="1" applyProtection="1">
      <alignment horizontal="center" vertical="center"/>
      <protection hidden="1"/>
    </xf>
    <xf numFmtId="164" fontId="13" fillId="3" borderId="264" xfId="0" applyNumberFormat="1" applyFont="1" applyFill="1" applyBorder="1" applyAlignment="1" applyProtection="1">
      <alignment horizontal="center" vertical="center"/>
      <protection hidden="1"/>
    </xf>
    <xf numFmtId="164" fontId="13" fillId="3" borderId="262" xfId="0" applyNumberFormat="1" applyFont="1" applyFill="1" applyBorder="1" applyAlignment="1" applyProtection="1">
      <alignment horizontal="center" vertical="center"/>
      <protection hidden="1"/>
    </xf>
    <xf numFmtId="0" fontId="15" fillId="3" borderId="261" xfId="5" applyFont="1" applyFill="1" applyBorder="1" applyProtection="1">
      <alignment horizontal="right" vertical="center" indent="1"/>
      <protection hidden="1"/>
    </xf>
    <xf numFmtId="0" fontId="15" fillId="3" borderId="264" xfId="5" applyFont="1" applyFill="1" applyBorder="1" applyProtection="1">
      <alignment horizontal="right" vertical="center" indent="1"/>
      <protection hidden="1"/>
    </xf>
    <xf numFmtId="0" fontId="15" fillId="3" borderId="370" xfId="4" applyFont="1" applyFill="1" applyBorder="1" applyAlignment="1" applyProtection="1">
      <alignment horizontal="center" vertical="center"/>
      <protection hidden="1"/>
    </xf>
    <xf numFmtId="0" fontId="13" fillId="14" borderId="280" xfId="4" applyFont="1" applyFill="1" applyBorder="1" applyAlignment="1" applyProtection="1">
      <alignment horizontal="center" vertical="center"/>
      <protection hidden="1"/>
    </xf>
    <xf numFmtId="0" fontId="13" fillId="14" borderId="369" xfId="4" applyFont="1" applyFill="1" applyBorder="1" applyAlignment="1" applyProtection="1">
      <alignment horizontal="center" vertical="center"/>
      <protection hidden="1"/>
    </xf>
    <xf numFmtId="0" fontId="13" fillId="14" borderId="276" xfId="4" applyFont="1" applyFill="1" applyBorder="1" applyAlignment="1" applyProtection="1">
      <alignment horizontal="center" vertical="center"/>
      <protection hidden="1"/>
    </xf>
    <xf numFmtId="0" fontId="13" fillId="14" borderId="251" xfId="4" applyFont="1" applyFill="1" applyBorder="1" applyAlignment="1" applyProtection="1">
      <alignment horizontal="center" vertical="center"/>
      <protection hidden="1"/>
    </xf>
    <xf numFmtId="0" fontId="13" fillId="14" borderId="280" xfId="4" applyFont="1" applyFill="1" applyBorder="1" applyAlignment="1" applyProtection="1">
      <alignment horizontal="center" vertical="center" shrinkToFit="1"/>
      <protection hidden="1"/>
    </xf>
    <xf numFmtId="0" fontId="13" fillId="14" borderId="222" xfId="4" applyFont="1" applyFill="1" applyBorder="1" applyAlignment="1" applyProtection="1">
      <alignment horizontal="center" vertical="center" shrinkToFit="1"/>
      <protection hidden="1"/>
    </xf>
    <xf numFmtId="164" fontId="0" fillId="0" borderId="366" xfId="0" applyNumberFormat="1" applyBorder="1" applyAlignment="1" applyProtection="1">
      <alignment horizontal="center" vertical="center"/>
      <protection hidden="1"/>
    </xf>
    <xf numFmtId="164" fontId="0" fillId="0" borderId="367" xfId="0" applyNumberFormat="1" applyBorder="1" applyAlignment="1" applyProtection="1">
      <alignment horizontal="center" vertical="center"/>
      <protection hidden="1"/>
    </xf>
    <xf numFmtId="164" fontId="2" fillId="3" borderId="255" xfId="0" applyNumberFormat="1" applyFont="1" applyFill="1" applyBorder="1" applyAlignment="1" applyProtection="1">
      <alignment horizontal="center" vertical="center"/>
      <protection hidden="1"/>
    </xf>
    <xf numFmtId="164" fontId="2" fillId="3" borderId="275" xfId="0" applyNumberFormat="1" applyFont="1" applyFill="1" applyBorder="1" applyAlignment="1" applyProtection="1">
      <alignment horizontal="center" vertical="center"/>
      <protection hidden="1"/>
    </xf>
    <xf numFmtId="164" fontId="2" fillId="3" borderId="256" xfId="0" applyNumberFormat="1" applyFont="1" applyFill="1" applyBorder="1" applyAlignment="1" applyProtection="1">
      <alignment horizontal="center" vertical="center"/>
      <protection hidden="1"/>
    </xf>
    <xf numFmtId="164" fontId="0" fillId="0" borderId="365" xfId="0" applyNumberFormat="1" applyBorder="1" applyAlignment="1" applyProtection="1">
      <alignment horizontal="center" vertical="center"/>
      <protection hidden="1"/>
    </xf>
    <xf numFmtId="164" fontId="0" fillId="0" borderId="361" xfId="0" applyNumberFormat="1" applyBorder="1" applyAlignment="1" applyProtection="1">
      <alignment horizontal="center" vertical="center"/>
      <protection hidden="1"/>
    </xf>
    <xf numFmtId="0" fontId="13" fillId="3" borderId="350" xfId="5" applyFont="1" applyFill="1" applyBorder="1" applyProtection="1">
      <alignment horizontal="right" vertical="center" indent="1"/>
      <protection hidden="1"/>
    </xf>
    <xf numFmtId="0" fontId="13" fillId="3" borderId="345" xfId="5" applyFont="1" applyFill="1" applyBorder="1" applyProtection="1">
      <alignment horizontal="right" vertical="center" indent="1"/>
      <protection hidden="1"/>
    </xf>
    <xf numFmtId="0" fontId="13" fillId="3" borderId="351" xfId="5" applyFont="1" applyFill="1" applyBorder="1" applyProtection="1">
      <alignment horizontal="right" vertical="center" indent="1"/>
      <protection hidden="1"/>
    </xf>
    <xf numFmtId="0" fontId="15" fillId="3" borderId="279" xfId="0" applyFont="1" applyFill="1" applyBorder="1" applyAlignment="1" applyProtection="1">
      <alignment horizontal="center" vertical="center"/>
      <protection hidden="1"/>
    </xf>
    <xf numFmtId="0" fontId="15" fillId="3" borderId="281" xfId="0" applyFont="1" applyFill="1" applyBorder="1" applyAlignment="1" applyProtection="1">
      <alignment horizontal="center" vertical="center"/>
      <protection hidden="1"/>
    </xf>
    <xf numFmtId="164" fontId="0" fillId="0" borderId="354" xfId="0" applyNumberFormat="1" applyBorder="1" applyAlignment="1" applyProtection="1">
      <alignment horizontal="center" vertical="center"/>
      <protection hidden="1"/>
    </xf>
    <xf numFmtId="164" fontId="0" fillId="0" borderId="346" xfId="0" applyNumberFormat="1" applyBorder="1" applyAlignment="1" applyProtection="1">
      <alignment horizontal="center" vertical="center"/>
      <protection hidden="1"/>
    </xf>
    <xf numFmtId="0" fontId="15" fillId="3" borderId="279" xfId="4" applyFont="1" applyFill="1" applyBorder="1" applyProtection="1">
      <alignment horizontal="left" vertical="center" indent="1"/>
      <protection hidden="1"/>
    </xf>
    <xf numFmtId="0" fontId="15" fillId="3" borderId="281" xfId="4" applyFont="1" applyFill="1" applyBorder="1" applyProtection="1">
      <alignment horizontal="left" vertical="center" indent="1"/>
      <protection hidden="1"/>
    </xf>
    <xf numFmtId="164" fontId="0" fillId="0" borderId="355" xfId="0" applyNumberFormat="1" applyBorder="1" applyAlignment="1" applyProtection="1">
      <alignment horizontal="center" vertical="center"/>
      <protection hidden="1"/>
    </xf>
    <xf numFmtId="164" fontId="0" fillId="0" borderId="356" xfId="0" applyNumberFormat="1" applyBorder="1" applyAlignment="1" applyProtection="1">
      <alignment horizontal="center" vertical="center"/>
      <protection hidden="1"/>
    </xf>
    <xf numFmtId="0" fontId="15" fillId="3" borderId="349" xfId="4" applyFont="1" applyFill="1" applyBorder="1" applyProtection="1">
      <alignment horizontal="left" vertical="center" indent="1"/>
      <protection hidden="1"/>
    </xf>
    <xf numFmtId="0" fontId="13" fillId="3" borderId="352" xfId="5" applyFont="1" applyFill="1" applyBorder="1" applyProtection="1">
      <alignment horizontal="right" vertical="center" indent="1"/>
      <protection hidden="1"/>
    </xf>
    <xf numFmtId="0" fontId="13" fillId="3" borderId="347" xfId="5" applyFont="1" applyFill="1" applyBorder="1" applyProtection="1">
      <alignment horizontal="right" vertical="center" indent="1"/>
      <protection hidden="1"/>
    </xf>
    <xf numFmtId="0" fontId="13" fillId="3" borderId="353" xfId="5" applyFont="1" applyFill="1" applyBorder="1" applyProtection="1">
      <alignment horizontal="right" vertical="center" indent="1"/>
      <protection hidden="1"/>
    </xf>
    <xf numFmtId="164" fontId="13" fillId="6" borderId="255" xfId="0" applyNumberFormat="1" applyFont="1" applyFill="1" applyBorder="1" applyAlignment="1" applyProtection="1">
      <alignment horizontal="center" vertical="center"/>
      <protection locked="0"/>
    </xf>
    <xf numFmtId="164" fontId="13" fillId="6" borderId="256" xfId="0" applyNumberFormat="1" applyFont="1" applyFill="1" applyBorder="1" applyAlignment="1" applyProtection="1">
      <alignment horizontal="center" vertical="center"/>
      <protection locked="0"/>
    </xf>
    <xf numFmtId="0" fontId="13" fillId="3" borderId="246" xfId="5" applyFont="1" applyFill="1" applyBorder="1" applyProtection="1">
      <alignment horizontal="right" vertical="center" indent="1"/>
      <protection hidden="1"/>
    </xf>
    <xf numFmtId="0" fontId="13" fillId="3" borderId="265" xfId="5" applyFont="1" applyFill="1" applyBorder="1" applyProtection="1">
      <alignment horizontal="right" vertical="center" indent="1"/>
      <protection hidden="1"/>
    </xf>
    <xf numFmtId="0" fontId="13" fillId="3" borderId="75" xfId="5" applyFont="1" applyFill="1" applyBorder="1" applyProtection="1">
      <alignment horizontal="right" vertical="center" indent="1"/>
      <protection hidden="1"/>
    </xf>
    <xf numFmtId="0" fontId="13" fillId="3" borderId="272" xfId="5" applyFont="1" applyFill="1" applyBorder="1" applyProtection="1">
      <alignment horizontal="right" vertical="center" indent="1"/>
      <protection hidden="1"/>
    </xf>
    <xf numFmtId="0" fontId="0" fillId="6" borderId="284" xfId="5" applyFont="1" applyFill="1" applyBorder="1" applyAlignment="1" applyProtection="1">
      <alignment horizontal="center" vertical="center"/>
      <protection locked="0"/>
    </xf>
    <xf numFmtId="0" fontId="13" fillId="6" borderId="77" xfId="5" applyFont="1" applyFill="1" applyBorder="1" applyAlignment="1" applyProtection="1">
      <alignment horizontal="center" vertical="center"/>
      <protection locked="0"/>
    </xf>
    <xf numFmtId="0" fontId="13" fillId="6" borderId="285" xfId="5" applyFont="1" applyFill="1" applyBorder="1" applyAlignment="1" applyProtection="1">
      <alignment horizontal="center" vertical="center"/>
      <protection locked="0"/>
    </xf>
    <xf numFmtId="0" fontId="13" fillId="6" borderId="360" xfId="5" applyFont="1" applyFill="1" applyBorder="1" applyAlignment="1" applyProtection="1">
      <alignment horizontal="center" vertical="center"/>
      <protection locked="0"/>
    </xf>
    <xf numFmtId="0" fontId="13" fillId="6" borderId="362" xfId="5" applyFont="1" applyFill="1" applyBorder="1" applyAlignment="1" applyProtection="1">
      <alignment horizontal="center" vertical="center"/>
      <protection locked="0"/>
    </xf>
    <xf numFmtId="0" fontId="13" fillId="6" borderId="347" xfId="5" applyFont="1" applyFill="1" applyBorder="1" applyAlignment="1" applyProtection="1">
      <alignment horizontal="center" vertical="center"/>
      <protection locked="0"/>
    </xf>
    <xf numFmtId="0" fontId="13" fillId="6" borderId="379" xfId="5" applyFont="1" applyFill="1" applyBorder="1" applyAlignment="1" applyProtection="1">
      <alignment horizontal="center" vertical="center"/>
      <protection locked="0"/>
    </xf>
    <xf numFmtId="0" fontId="15" fillId="3" borderId="357" xfId="0" applyFont="1" applyFill="1" applyBorder="1" applyAlignment="1" applyProtection="1">
      <alignment horizontal="center" vertical="center"/>
      <protection hidden="1"/>
    </xf>
    <xf numFmtId="0" fontId="15" fillId="3" borderId="359" xfId="0" applyFont="1" applyFill="1" applyBorder="1" applyAlignment="1" applyProtection="1">
      <alignment horizontal="center" vertical="center"/>
      <protection hidden="1"/>
    </xf>
    <xf numFmtId="0" fontId="15" fillId="3" borderId="271" xfId="4" applyFont="1" applyFill="1" applyBorder="1" applyProtection="1">
      <alignment horizontal="left" vertical="center" indent="1"/>
      <protection hidden="1"/>
    </xf>
    <xf numFmtId="0" fontId="13" fillId="3" borderId="265" xfId="0" applyFont="1" applyFill="1" applyBorder="1" applyAlignment="1" applyProtection="1">
      <alignment horizontal="center" vertical="center"/>
      <protection hidden="1"/>
    </xf>
    <xf numFmtId="0" fontId="13" fillId="6" borderId="253" xfId="5" applyFont="1" applyFill="1" applyBorder="1" applyAlignment="1" applyProtection="1">
      <alignment horizontal="center" vertical="center"/>
      <protection locked="0"/>
    </xf>
    <xf numFmtId="0" fontId="13" fillId="6" borderId="0" xfId="5" applyFont="1" applyFill="1" applyBorder="1" applyAlignment="1" applyProtection="1">
      <alignment horizontal="center" vertical="center"/>
      <protection locked="0"/>
    </xf>
    <xf numFmtId="0" fontId="13" fillId="6" borderId="252" xfId="5" applyFont="1" applyFill="1" applyBorder="1" applyAlignment="1" applyProtection="1">
      <alignment horizontal="center" vertical="center"/>
      <protection locked="0"/>
    </xf>
    <xf numFmtId="0" fontId="104" fillId="25" borderId="287" xfId="0" applyFont="1" applyFill="1" applyBorder="1" applyAlignment="1" applyProtection="1">
      <alignment horizontal="center" vertical="center"/>
      <protection hidden="1"/>
    </xf>
    <xf numFmtId="0" fontId="104" fillId="25" borderId="9" xfId="0" applyFont="1" applyFill="1" applyBorder="1" applyAlignment="1" applyProtection="1">
      <alignment horizontal="center" vertical="center"/>
      <protection hidden="1"/>
    </xf>
    <xf numFmtId="0" fontId="104" fillId="25" borderId="288" xfId="0" applyFont="1" applyFill="1" applyBorder="1" applyAlignment="1" applyProtection="1">
      <alignment horizontal="center" vertical="center"/>
      <protection hidden="1"/>
    </xf>
    <xf numFmtId="6" fontId="2" fillId="0" borderId="273" xfId="0" applyNumberFormat="1" applyFont="1" applyBorder="1" applyAlignment="1" applyProtection="1">
      <alignment horizontal="center" vertical="center"/>
      <protection hidden="1"/>
    </xf>
    <xf numFmtId="6" fontId="2" fillId="0" borderId="75" xfId="0" applyNumberFormat="1" applyFont="1" applyBorder="1" applyAlignment="1" applyProtection="1">
      <alignment horizontal="center" vertical="center"/>
      <protection hidden="1"/>
    </xf>
    <xf numFmtId="6" fontId="2" fillId="0" borderId="272" xfId="0" applyNumberFormat="1" applyFont="1" applyBorder="1" applyAlignment="1" applyProtection="1">
      <alignment horizontal="center" vertical="center"/>
      <protection hidden="1"/>
    </xf>
    <xf numFmtId="3" fontId="2" fillId="0" borderId="273" xfId="0" applyNumberFormat="1" applyFont="1" applyBorder="1" applyAlignment="1" applyProtection="1">
      <alignment horizontal="center" vertical="center"/>
      <protection hidden="1"/>
    </xf>
    <xf numFmtId="3" fontId="2" fillId="0" borderId="75" xfId="0" applyNumberFormat="1" applyFont="1" applyBorder="1" applyAlignment="1" applyProtection="1">
      <alignment horizontal="center" vertical="center"/>
      <protection hidden="1"/>
    </xf>
    <xf numFmtId="3" fontId="2" fillId="0" borderId="272" xfId="0" applyNumberFormat="1" applyFont="1" applyBorder="1" applyAlignment="1" applyProtection="1">
      <alignment horizontal="center" vertical="center"/>
      <protection hidden="1"/>
    </xf>
    <xf numFmtId="0" fontId="78" fillId="3" borderId="300" xfId="0" applyFont="1" applyFill="1" applyBorder="1" applyAlignment="1" applyProtection="1">
      <alignment horizontal="center" vertical="center"/>
      <protection hidden="1"/>
    </xf>
    <xf numFmtId="0" fontId="78" fillId="3" borderId="137" xfId="0" applyFont="1" applyFill="1" applyBorder="1" applyAlignment="1" applyProtection="1">
      <alignment horizontal="center" vertical="center"/>
      <protection hidden="1"/>
    </xf>
    <xf numFmtId="0" fontId="78" fillId="3" borderId="293" xfId="0" applyFont="1" applyFill="1" applyBorder="1" applyAlignment="1" applyProtection="1">
      <alignment horizontal="center" vertical="center"/>
      <protection hidden="1"/>
    </xf>
    <xf numFmtId="0" fontId="109" fillId="3" borderId="0" xfId="5" applyFont="1" applyFill="1" applyBorder="1" applyAlignment="1" applyProtection="1">
      <alignment horizontal="left" vertical="center" wrapText="1"/>
      <protection hidden="1"/>
    </xf>
    <xf numFmtId="0" fontId="109" fillId="3" borderId="252" xfId="5" applyFont="1" applyFill="1" applyBorder="1" applyAlignment="1" applyProtection="1">
      <alignment horizontal="left" vertical="center" wrapText="1"/>
      <protection hidden="1"/>
    </xf>
    <xf numFmtId="168" fontId="106" fillId="3" borderId="300" xfId="0" applyNumberFormat="1" applyFont="1" applyFill="1" applyBorder="1" applyAlignment="1" applyProtection="1">
      <alignment horizontal="center" vertical="center"/>
      <protection hidden="1"/>
    </xf>
    <xf numFmtId="168" fontId="106" fillId="3" borderId="137" xfId="0" applyNumberFormat="1" applyFont="1" applyFill="1" applyBorder="1" applyAlignment="1" applyProtection="1">
      <alignment horizontal="center" vertical="center"/>
      <protection hidden="1"/>
    </xf>
    <xf numFmtId="168" fontId="106" fillId="3" borderId="253" xfId="0" applyNumberFormat="1" applyFont="1" applyFill="1" applyBorder="1" applyAlignment="1" applyProtection="1">
      <alignment horizontal="center" vertical="center"/>
      <protection hidden="1"/>
    </xf>
    <xf numFmtId="168" fontId="106" fillId="3" borderId="0" xfId="0" applyNumberFormat="1" applyFont="1" applyFill="1" applyAlignment="1" applyProtection="1">
      <alignment horizontal="center" vertical="center"/>
      <protection hidden="1"/>
    </xf>
    <xf numFmtId="168" fontId="106" fillId="3" borderId="273" xfId="0" applyNumberFormat="1" applyFont="1" applyFill="1" applyBorder="1" applyAlignment="1" applyProtection="1">
      <alignment horizontal="center" vertical="center"/>
      <protection hidden="1"/>
    </xf>
    <xf numFmtId="168" fontId="106" fillId="3" borderId="75" xfId="0" applyNumberFormat="1" applyFont="1" applyFill="1" applyBorder="1" applyAlignment="1" applyProtection="1">
      <alignment horizontal="center" vertical="center"/>
      <protection hidden="1"/>
    </xf>
    <xf numFmtId="6" fontId="109" fillId="3" borderId="273" xfId="0" applyNumberFormat="1" applyFont="1" applyFill="1" applyBorder="1" applyAlignment="1" applyProtection="1">
      <alignment horizontal="center" vertical="center"/>
      <protection hidden="1"/>
    </xf>
    <xf numFmtId="6" fontId="109" fillId="3" borderId="75" xfId="0" applyNumberFormat="1" applyFont="1" applyFill="1" applyBorder="1" applyAlignment="1" applyProtection="1">
      <alignment horizontal="center" vertical="center"/>
      <protection hidden="1"/>
    </xf>
    <xf numFmtId="6" fontId="109" fillId="3" borderId="272" xfId="0" applyNumberFormat="1" applyFont="1" applyFill="1" applyBorder="1" applyAlignment="1" applyProtection="1">
      <alignment horizontal="center" vertical="center"/>
      <protection hidden="1"/>
    </xf>
    <xf numFmtId="0" fontId="78" fillId="3" borderId="300" xfId="5" applyFont="1" applyFill="1" applyBorder="1" applyAlignment="1" applyProtection="1">
      <alignment horizontal="center" vertical="center"/>
      <protection hidden="1"/>
    </xf>
    <xf numFmtId="0" fontId="78" fillId="3" borderId="137" xfId="5" applyFont="1" applyFill="1" applyBorder="1" applyAlignment="1" applyProtection="1">
      <alignment horizontal="center" vertical="center"/>
      <protection hidden="1"/>
    </xf>
    <xf numFmtId="0" fontId="78" fillId="3" borderId="293" xfId="5" applyFont="1" applyFill="1" applyBorder="1" applyAlignment="1" applyProtection="1">
      <alignment horizontal="center" vertical="center"/>
      <protection hidden="1"/>
    </xf>
    <xf numFmtId="0" fontId="86" fillId="3" borderId="208" xfId="0" applyFont="1" applyFill="1" applyBorder="1" applyAlignment="1" applyProtection="1">
      <alignment vertical="center" wrapText="1"/>
      <protection hidden="1"/>
    </xf>
    <xf numFmtId="0" fontId="86" fillId="3" borderId="229" xfId="0" applyFont="1" applyFill="1" applyBorder="1" applyAlignment="1" applyProtection="1">
      <alignment vertical="center" wrapText="1"/>
      <protection hidden="1"/>
    </xf>
    <xf numFmtId="6" fontId="78" fillId="3" borderId="249" xfId="0" applyNumberFormat="1" applyFont="1" applyFill="1" applyBorder="1" applyAlignment="1" applyProtection="1">
      <alignment horizontal="center" vertical="center"/>
      <protection hidden="1"/>
    </xf>
    <xf numFmtId="0" fontId="78" fillId="3" borderId="265" xfId="0" applyFont="1" applyFill="1" applyBorder="1" applyAlignment="1" applyProtection="1">
      <alignment horizontal="center" vertical="center"/>
      <protection hidden="1"/>
    </xf>
    <xf numFmtId="0" fontId="78" fillId="3" borderId="246" xfId="0" applyFont="1" applyFill="1" applyBorder="1" applyAlignment="1" applyProtection="1">
      <alignment horizontal="center" vertical="center"/>
      <protection hidden="1"/>
    </xf>
    <xf numFmtId="6" fontId="78" fillId="3" borderId="249" xfId="5" applyNumberFormat="1" applyFont="1" applyFill="1" applyBorder="1" applyAlignment="1" applyProtection="1">
      <alignment horizontal="center" vertical="center"/>
      <protection hidden="1"/>
    </xf>
    <xf numFmtId="0" fontId="78" fillId="3" borderId="265" xfId="5" applyFont="1" applyFill="1" applyBorder="1" applyAlignment="1" applyProtection="1">
      <alignment horizontal="center" vertical="center"/>
      <protection hidden="1"/>
    </xf>
    <xf numFmtId="0" fontId="78" fillId="3" borderId="246" xfId="5" applyFont="1" applyFill="1" applyBorder="1" applyAlignment="1" applyProtection="1">
      <alignment horizontal="center" vertical="center"/>
      <protection hidden="1"/>
    </xf>
    <xf numFmtId="0" fontId="78" fillId="3" borderId="0" xfId="5" applyFont="1" applyFill="1" applyBorder="1" applyAlignment="1" applyProtection="1">
      <alignment horizontal="left" vertical="center" wrapText="1"/>
      <protection hidden="1"/>
    </xf>
    <xf numFmtId="0" fontId="78" fillId="3" borderId="252" xfId="5" applyFont="1" applyFill="1" applyBorder="1" applyAlignment="1" applyProtection="1">
      <alignment horizontal="left" vertical="center" wrapText="1"/>
      <protection hidden="1"/>
    </xf>
    <xf numFmtId="0" fontId="106" fillId="9" borderId="0" xfId="0" applyFont="1" applyFill="1" applyAlignment="1" applyProtection="1">
      <alignment horizontal="center" vertical="center"/>
      <protection hidden="1"/>
    </xf>
    <xf numFmtId="0" fontId="106" fillId="3" borderId="10" xfId="4" applyFont="1" applyFill="1" applyBorder="1" applyProtection="1">
      <alignment horizontal="left" vertical="center" indent="1"/>
      <protection hidden="1"/>
    </xf>
    <xf numFmtId="0" fontId="106" fillId="3" borderId="11" xfId="4" applyFont="1" applyFill="1" applyBorder="1" applyProtection="1">
      <alignment horizontal="left" vertical="center" indent="1"/>
      <protection hidden="1"/>
    </xf>
    <xf numFmtId="0" fontId="106" fillId="3" borderId="92" xfId="4" applyFont="1" applyFill="1" applyBorder="1" applyProtection="1">
      <alignment horizontal="left" vertical="center" indent="1"/>
      <protection hidden="1"/>
    </xf>
    <xf numFmtId="0" fontId="106" fillId="3" borderId="97" xfId="4" applyFont="1" applyFill="1" applyBorder="1" applyProtection="1">
      <alignment horizontal="left" vertical="center" indent="1"/>
      <protection hidden="1"/>
    </xf>
    <xf numFmtId="0" fontId="106" fillId="3" borderId="0" xfId="4" applyFont="1" applyFill="1" applyBorder="1" applyProtection="1">
      <alignment horizontal="left" vertical="center" indent="1"/>
      <protection hidden="1"/>
    </xf>
    <xf numFmtId="0" fontId="106" fillId="3" borderId="73" xfId="4" applyFont="1" applyFill="1" applyBorder="1" applyProtection="1">
      <alignment horizontal="left" vertical="center" indent="1"/>
      <protection hidden="1"/>
    </xf>
    <xf numFmtId="0" fontId="78" fillId="3" borderId="249" xfId="4" applyFont="1" applyFill="1" applyBorder="1" applyProtection="1">
      <alignment horizontal="left" vertical="center" indent="1"/>
      <protection hidden="1"/>
    </xf>
    <xf numFmtId="0" fontId="78" fillId="3" borderId="265" xfId="4" applyFont="1" applyFill="1" applyBorder="1" applyProtection="1">
      <alignment horizontal="left" vertical="center" indent="1"/>
      <protection hidden="1"/>
    </xf>
    <xf numFmtId="0" fontId="78" fillId="3" borderId="246" xfId="4" applyFont="1" applyFill="1" applyBorder="1" applyProtection="1">
      <alignment horizontal="left" vertical="center" indent="1"/>
      <protection hidden="1"/>
    </xf>
    <xf numFmtId="0" fontId="109" fillId="3" borderId="249" xfId="4" applyFont="1" applyFill="1" applyBorder="1" applyProtection="1">
      <alignment horizontal="left" vertical="center" indent="1"/>
      <protection hidden="1"/>
    </xf>
    <xf numFmtId="0" fontId="109" fillId="3" borderId="265" xfId="4" applyFont="1" applyFill="1" applyBorder="1" applyProtection="1">
      <alignment horizontal="left" vertical="center" indent="1"/>
      <protection hidden="1"/>
    </xf>
    <xf numFmtId="0" fontId="109" fillId="3" borderId="246" xfId="4" applyFont="1" applyFill="1" applyBorder="1" applyProtection="1">
      <alignment horizontal="left" vertical="center" indent="1"/>
      <protection hidden="1"/>
    </xf>
    <xf numFmtId="14" fontId="78" fillId="3" borderId="249" xfId="0" applyNumberFormat="1" applyFont="1" applyFill="1" applyBorder="1" applyAlignment="1" applyProtection="1">
      <alignment horizontal="center" vertical="center"/>
      <protection hidden="1"/>
    </xf>
    <xf numFmtId="0" fontId="78" fillId="3" borderId="249" xfId="0" applyFont="1" applyFill="1" applyBorder="1" applyAlignment="1" applyProtection="1">
      <alignment horizontal="center" vertical="center"/>
      <protection hidden="1"/>
    </xf>
    <xf numFmtId="168" fontId="78" fillId="3" borderId="249" xfId="0" quotePrefix="1" applyNumberFormat="1" applyFont="1" applyFill="1" applyBorder="1" applyAlignment="1" applyProtection="1">
      <alignment horizontal="center" vertical="center"/>
      <protection hidden="1"/>
    </xf>
    <xf numFmtId="168" fontId="78" fillId="3" borderId="246" xfId="0" applyNumberFormat="1" applyFont="1" applyFill="1" applyBorder="1" applyAlignment="1" applyProtection="1">
      <alignment horizontal="center" vertical="center"/>
      <protection hidden="1"/>
    </xf>
    <xf numFmtId="0" fontId="78" fillId="3" borderId="249" xfId="0" quotePrefix="1" applyFont="1" applyFill="1" applyBorder="1" applyAlignment="1" applyProtection="1">
      <alignment horizontal="center" vertical="center"/>
      <protection hidden="1"/>
    </xf>
    <xf numFmtId="0" fontId="78" fillId="3" borderId="246" xfId="0" quotePrefix="1" applyFont="1" applyFill="1" applyBorder="1" applyAlignment="1" applyProtection="1">
      <alignment horizontal="center" vertical="center"/>
      <protection hidden="1"/>
    </xf>
    <xf numFmtId="0" fontId="106" fillId="3" borderId="209" xfId="0" applyFont="1" applyFill="1" applyBorder="1" applyAlignment="1" applyProtection="1">
      <alignment vertical="center" wrapText="1"/>
      <protection hidden="1"/>
    </xf>
    <xf numFmtId="0" fontId="106" fillId="3" borderId="220" xfId="0" applyFont="1" applyFill="1" applyBorder="1" applyAlignment="1" applyProtection="1">
      <alignment vertical="center" wrapText="1"/>
      <protection hidden="1"/>
    </xf>
    <xf numFmtId="0" fontId="106" fillId="3" borderId="221" xfId="0" applyFont="1" applyFill="1" applyBorder="1" applyAlignment="1" applyProtection="1">
      <alignment vertical="center" wrapText="1"/>
      <protection hidden="1"/>
    </xf>
    <xf numFmtId="0" fontId="106" fillId="3" borderId="73" xfId="0" applyFont="1" applyFill="1" applyBorder="1" applyAlignment="1" applyProtection="1">
      <alignment vertical="center" wrapText="1"/>
      <protection hidden="1"/>
    </xf>
    <xf numFmtId="0" fontId="106" fillId="3" borderId="217" xfId="0" applyFont="1" applyFill="1" applyBorder="1" applyAlignment="1" applyProtection="1">
      <alignment vertical="center" wrapText="1"/>
      <protection hidden="1"/>
    </xf>
    <xf numFmtId="0" fontId="106" fillId="3" borderId="91" xfId="0" applyFont="1" applyFill="1" applyBorder="1" applyAlignment="1" applyProtection="1">
      <alignment vertical="center" wrapText="1"/>
      <protection hidden="1"/>
    </xf>
    <xf numFmtId="0" fontId="113" fillId="3" borderId="0" xfId="0" applyFont="1" applyFill="1" applyAlignment="1" applyProtection="1">
      <alignment horizontal="left" vertical="top" wrapText="1"/>
      <protection hidden="1"/>
    </xf>
    <xf numFmtId="0" fontId="106" fillId="3" borderId="80" xfId="0" applyFont="1" applyFill="1" applyBorder="1" applyAlignment="1" applyProtection="1">
      <alignment vertical="center" wrapText="1"/>
      <protection hidden="1"/>
    </xf>
    <xf numFmtId="0" fontId="106" fillId="3" borderId="218" xfId="0" applyFont="1" applyFill="1" applyBorder="1" applyAlignment="1" applyProtection="1">
      <alignment vertical="center" wrapText="1"/>
      <protection hidden="1"/>
    </xf>
    <xf numFmtId="0" fontId="106" fillId="3" borderId="82" xfId="0" applyFont="1" applyFill="1" applyBorder="1" applyAlignment="1" applyProtection="1">
      <alignment vertical="center" wrapText="1"/>
      <protection hidden="1"/>
    </xf>
    <xf numFmtId="0" fontId="106" fillId="3" borderId="226" xfId="0" applyFont="1" applyFill="1" applyBorder="1" applyAlignment="1" applyProtection="1">
      <alignment vertical="center" wrapText="1"/>
      <protection hidden="1"/>
    </xf>
    <xf numFmtId="0" fontId="106" fillId="3" borderId="227" xfId="0" applyFont="1" applyFill="1" applyBorder="1" applyAlignment="1" applyProtection="1">
      <alignment vertical="center" wrapText="1"/>
      <protection hidden="1"/>
    </xf>
    <xf numFmtId="0" fontId="106" fillId="3" borderId="228" xfId="0" applyFont="1" applyFill="1" applyBorder="1" applyAlignment="1" applyProtection="1">
      <alignment vertical="center" wrapText="1"/>
      <protection hidden="1"/>
    </xf>
    <xf numFmtId="0" fontId="106" fillId="3" borderId="207" xfId="0" applyFont="1" applyFill="1" applyBorder="1" applyAlignment="1" applyProtection="1">
      <alignment vertical="center" wrapText="1"/>
      <protection hidden="1"/>
    </xf>
    <xf numFmtId="0" fontId="106" fillId="3" borderId="230" xfId="0" applyFont="1" applyFill="1" applyBorder="1" applyAlignment="1" applyProtection="1">
      <alignment vertical="center" wrapText="1"/>
      <protection hidden="1"/>
    </xf>
    <xf numFmtId="0" fontId="106" fillId="3" borderId="231" xfId="0" applyFont="1" applyFill="1" applyBorder="1" applyAlignment="1" applyProtection="1">
      <alignment vertical="center" wrapText="1"/>
      <protection hidden="1"/>
    </xf>
    <xf numFmtId="0" fontId="106" fillId="3" borderId="77" xfId="0" applyFont="1" applyFill="1" applyBorder="1" applyAlignment="1" applyProtection="1">
      <alignment horizontal="center" vertical="center" wrapText="1"/>
      <protection hidden="1"/>
    </xf>
    <xf numFmtId="0" fontId="106" fillId="3" borderId="214" xfId="0" applyFont="1" applyFill="1" applyBorder="1" applyAlignment="1" applyProtection="1">
      <alignment horizontal="center" vertical="center" wrapText="1"/>
      <protection hidden="1"/>
    </xf>
    <xf numFmtId="0" fontId="106" fillId="3" borderId="0" xfId="0" applyFont="1" applyFill="1" applyAlignment="1" applyProtection="1">
      <alignment horizontal="center" vertical="center" wrapText="1"/>
      <protection hidden="1"/>
    </xf>
    <xf numFmtId="0" fontId="106" fillId="3" borderId="73" xfId="0" applyFont="1" applyFill="1" applyBorder="1" applyAlignment="1" applyProtection="1">
      <alignment horizontal="center" vertical="center" wrapText="1"/>
      <protection hidden="1"/>
    </xf>
    <xf numFmtId="0" fontId="106" fillId="3" borderId="403" xfId="0" applyFont="1" applyFill="1" applyBorder="1" applyAlignment="1" applyProtection="1">
      <alignment horizontal="center" vertical="center" wrapText="1"/>
      <protection hidden="1"/>
    </xf>
    <xf numFmtId="0" fontId="106" fillId="3" borderId="207" xfId="0" applyFont="1" applyFill="1" applyBorder="1" applyAlignment="1" applyProtection="1">
      <alignment horizontal="center" vertical="center" wrapText="1"/>
      <protection hidden="1"/>
    </xf>
    <xf numFmtId="0" fontId="106" fillId="3" borderId="400" xfId="4" applyFont="1" applyFill="1" applyBorder="1" applyProtection="1">
      <alignment horizontal="left" vertical="center" indent="1"/>
      <protection hidden="1"/>
    </xf>
    <xf numFmtId="0" fontId="106" fillId="3" borderId="401" xfId="4" applyFont="1" applyFill="1" applyBorder="1" applyProtection="1">
      <alignment horizontal="left" vertical="center" indent="1"/>
      <protection hidden="1"/>
    </xf>
    <xf numFmtId="0" fontId="106" fillId="3" borderId="402" xfId="4" applyFont="1" applyFill="1" applyBorder="1" applyProtection="1">
      <alignment horizontal="left" vertical="center" indent="1"/>
      <protection hidden="1"/>
    </xf>
    <xf numFmtId="0" fontId="106" fillId="10" borderId="98" xfId="4" applyFont="1" applyFill="1" applyBorder="1" applyProtection="1">
      <alignment horizontal="left" vertical="center" indent="1"/>
      <protection hidden="1"/>
    </xf>
    <xf numFmtId="0" fontId="106" fillId="10" borderId="100" xfId="4" applyFont="1" applyFill="1" applyBorder="1" applyProtection="1">
      <alignment horizontal="left" vertical="center" indent="1"/>
      <protection hidden="1"/>
    </xf>
    <xf numFmtId="0" fontId="106" fillId="10" borderId="99" xfId="4" applyFont="1" applyFill="1" applyBorder="1" applyProtection="1">
      <alignment horizontal="left" vertical="center" indent="1"/>
      <protection hidden="1"/>
    </xf>
    <xf numFmtId="0" fontId="106" fillId="3" borderId="399" xfId="4" applyFont="1" applyFill="1" applyBorder="1" applyProtection="1">
      <alignment horizontal="left" vertical="center" indent="1"/>
      <protection hidden="1"/>
    </xf>
    <xf numFmtId="0" fontId="106" fillId="3" borderId="196" xfId="4" applyFont="1" applyFill="1" applyBorder="1" applyProtection="1">
      <alignment horizontal="left" vertical="center" indent="1"/>
      <protection hidden="1"/>
    </xf>
    <xf numFmtId="0" fontId="106" fillId="3" borderId="211" xfId="4" applyFont="1" applyFill="1" applyBorder="1" applyProtection="1">
      <alignment horizontal="left" vertical="center" indent="1"/>
      <protection hidden="1"/>
    </xf>
    <xf numFmtId="0" fontId="115" fillId="3" borderId="0" xfId="5" applyFont="1" applyFill="1" applyBorder="1" applyAlignment="1" applyProtection="1">
      <alignment horizontal="right" vertical="center" wrapText="1" indent="1"/>
      <protection hidden="1"/>
    </xf>
    <xf numFmtId="0" fontId="115" fillId="3" borderId="252" xfId="5" applyFont="1" applyFill="1" applyBorder="1" applyAlignment="1" applyProtection="1">
      <alignment horizontal="right" vertical="center" wrapText="1" indent="1"/>
      <protection hidden="1"/>
    </xf>
    <xf numFmtId="0" fontId="78" fillId="3" borderId="0" xfId="5" applyFont="1" applyFill="1" applyBorder="1" applyProtection="1">
      <alignment horizontal="right" vertical="center" indent="1"/>
      <protection hidden="1"/>
    </xf>
    <xf numFmtId="0" fontId="78" fillId="3" borderId="252" xfId="5" applyFont="1" applyFill="1" applyBorder="1" applyProtection="1">
      <alignment horizontal="right" vertical="center" indent="1"/>
      <protection hidden="1"/>
    </xf>
    <xf numFmtId="0" fontId="106" fillId="3" borderId="130" xfId="0" applyFont="1" applyFill="1" applyBorder="1" applyAlignment="1" applyProtection="1">
      <alignment horizontal="center" vertical="center" wrapText="1"/>
      <protection hidden="1"/>
    </xf>
    <xf numFmtId="0" fontId="106" fillId="3" borderId="404" xfId="0" applyFont="1" applyFill="1" applyBorder="1" applyAlignment="1" applyProtection="1">
      <alignment horizontal="center" vertical="center" wrapText="1"/>
      <protection hidden="1"/>
    </xf>
    <xf numFmtId="0" fontId="78" fillId="3" borderId="0" xfId="5" applyFont="1" applyFill="1" applyBorder="1" applyAlignment="1" applyProtection="1">
      <alignment horizontal="right" wrapText="1"/>
      <protection hidden="1"/>
    </xf>
    <xf numFmtId="172" fontId="78" fillId="3" borderId="300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137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93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53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0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52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73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75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72" xfId="5" applyNumberFormat="1" applyFont="1" applyFill="1" applyBorder="1" applyAlignment="1" applyProtection="1">
      <alignment horizontal="center" vertical="center" wrapText="1"/>
      <protection hidden="1"/>
    </xf>
    <xf numFmtId="0" fontId="78" fillId="3" borderId="0" xfId="5" applyFont="1" applyFill="1" applyBorder="1" applyAlignment="1" applyProtection="1">
      <alignment horizontal="right" vertical="center" wrapText="1" indent="1"/>
      <protection hidden="1"/>
    </xf>
    <xf numFmtId="0" fontId="78" fillId="3" borderId="252" xfId="5" applyFont="1" applyFill="1" applyBorder="1" applyAlignment="1" applyProtection="1">
      <alignment horizontal="right" vertical="center" wrapText="1" indent="1"/>
      <protection hidden="1"/>
    </xf>
    <xf numFmtId="0" fontId="99" fillId="3" borderId="137" xfId="4" applyFont="1" applyFill="1" applyBorder="1" applyAlignment="1" applyProtection="1">
      <alignment horizontal="left" vertical="center" wrapText="1" indent="1"/>
      <protection hidden="1"/>
    </xf>
    <xf numFmtId="0" fontId="99" fillId="3" borderId="293" xfId="4" applyFont="1" applyFill="1" applyBorder="1" applyAlignment="1" applyProtection="1">
      <alignment horizontal="left" vertical="center" wrapText="1" indent="1"/>
      <protection hidden="1"/>
    </xf>
    <xf numFmtId="0" fontId="99" fillId="3" borderId="0" xfId="4" applyFont="1" applyFill="1" applyBorder="1" applyAlignment="1" applyProtection="1">
      <alignment horizontal="left" vertical="center" wrapText="1" indent="1"/>
      <protection hidden="1"/>
    </xf>
    <xf numFmtId="0" fontId="99" fillId="3" borderId="252" xfId="4" applyFont="1" applyFill="1" applyBorder="1" applyAlignment="1" applyProtection="1">
      <alignment horizontal="left" vertical="center" wrapText="1" indent="1"/>
      <protection hidden="1"/>
    </xf>
    <xf numFmtId="0" fontId="99" fillId="3" borderId="75" xfId="4" applyFont="1" applyFill="1" applyBorder="1" applyAlignment="1" applyProtection="1">
      <alignment horizontal="left" vertical="center" wrapText="1" indent="1"/>
      <protection hidden="1"/>
    </xf>
    <xf numFmtId="0" fontId="99" fillId="3" borderId="272" xfId="4" applyFont="1" applyFill="1" applyBorder="1" applyAlignment="1" applyProtection="1">
      <alignment horizontal="left" vertical="center" wrapText="1" indent="1"/>
      <protection hidden="1"/>
    </xf>
    <xf numFmtId="164" fontId="78" fillId="3" borderId="249" xfId="0" applyNumberFormat="1" applyFont="1" applyFill="1" applyBorder="1" applyAlignment="1" applyProtection="1">
      <alignment horizontal="center" vertical="center"/>
      <protection hidden="1"/>
    </xf>
    <xf numFmtId="164" fontId="78" fillId="3" borderId="246" xfId="0" applyNumberFormat="1" applyFont="1" applyFill="1" applyBorder="1" applyAlignment="1" applyProtection="1">
      <alignment horizontal="center" vertical="center"/>
      <protection hidden="1"/>
    </xf>
    <xf numFmtId="168" fontId="106" fillId="3" borderId="249" xfId="0" applyNumberFormat="1" applyFont="1" applyFill="1" applyBorder="1" applyAlignment="1" applyProtection="1">
      <alignment horizontal="center" vertical="center"/>
      <protection hidden="1"/>
    </xf>
    <xf numFmtId="168" fontId="106" fillId="3" borderId="246" xfId="0" applyNumberFormat="1" applyFont="1" applyFill="1" applyBorder="1" applyAlignment="1" applyProtection="1">
      <alignment horizontal="center" vertical="center"/>
      <protection hidden="1"/>
    </xf>
    <xf numFmtId="0" fontId="106" fillId="3" borderId="133" xfId="0" applyFont="1" applyFill="1" applyBorder="1" applyAlignment="1" applyProtection="1">
      <alignment vertical="center" wrapText="1"/>
      <protection hidden="1"/>
    </xf>
    <xf numFmtId="0" fontId="106" fillId="3" borderId="208" xfId="0" applyFont="1" applyFill="1" applyBorder="1" applyAlignment="1" applyProtection="1">
      <alignment vertical="center" wrapText="1"/>
      <protection hidden="1"/>
    </xf>
    <xf numFmtId="0" fontId="106" fillId="3" borderId="79" xfId="0" applyFont="1" applyFill="1" applyBorder="1" applyAlignment="1" applyProtection="1">
      <alignment vertical="center" wrapText="1"/>
      <protection hidden="1"/>
    </xf>
    <xf numFmtId="0" fontId="106" fillId="3" borderId="223" xfId="0" applyFont="1" applyFill="1" applyBorder="1" applyAlignment="1" applyProtection="1">
      <alignment vertical="center" wrapText="1"/>
      <protection hidden="1"/>
    </xf>
    <xf numFmtId="0" fontId="106" fillId="3" borderId="224" xfId="0" applyFont="1" applyFill="1" applyBorder="1" applyAlignment="1" applyProtection="1">
      <alignment vertical="center" wrapText="1"/>
      <protection hidden="1"/>
    </xf>
    <xf numFmtId="6" fontId="15" fillId="3" borderId="0" xfId="5" applyNumberFormat="1" applyFont="1" applyFill="1" applyBorder="1" applyAlignment="1" applyProtection="1">
      <alignment horizontal="right" vertical="center" wrapText="1" indent="1"/>
      <protection hidden="1"/>
    </xf>
    <xf numFmtId="6" fontId="109" fillId="3" borderId="273" xfId="5" applyNumberFormat="1" applyFont="1" applyFill="1" applyBorder="1" applyAlignment="1" applyProtection="1">
      <alignment horizontal="center" vertical="center"/>
      <protection hidden="1"/>
    </xf>
    <xf numFmtId="0" fontId="109" fillId="3" borderId="75" xfId="5" applyFont="1" applyFill="1" applyBorder="1" applyAlignment="1" applyProtection="1">
      <alignment horizontal="center" vertical="center"/>
      <protection hidden="1"/>
    </xf>
    <xf numFmtId="0" fontId="109" fillId="3" borderId="272" xfId="5" applyFont="1" applyFill="1" applyBorder="1" applyAlignment="1" applyProtection="1">
      <alignment horizontal="center" vertical="center"/>
      <protection hidden="1"/>
    </xf>
    <xf numFmtId="0" fontId="109" fillId="3" borderId="75" xfId="0" applyFont="1" applyFill="1" applyBorder="1" applyAlignment="1" applyProtection="1">
      <alignment horizontal="center" vertical="center"/>
      <protection hidden="1"/>
    </xf>
    <xf numFmtId="0" fontId="109" fillId="3" borderId="272" xfId="0" applyFont="1" applyFill="1" applyBorder="1" applyAlignment="1" applyProtection="1">
      <alignment horizontal="center" vertical="center"/>
      <protection hidden="1"/>
    </xf>
    <xf numFmtId="0" fontId="0" fillId="3" borderId="481" xfId="0" applyFill="1" applyBorder="1" applyAlignment="1">
      <alignment horizontal="center" vertical="center"/>
    </xf>
    <xf numFmtId="0" fontId="0" fillId="3" borderId="83" xfId="0" applyFill="1" applyBorder="1" applyAlignment="1">
      <alignment horizontal="center" vertical="center"/>
    </xf>
    <xf numFmtId="0" fontId="0" fillId="3" borderId="85" xfId="0" applyFill="1" applyBorder="1" applyAlignment="1">
      <alignment horizontal="center" vertical="center"/>
    </xf>
    <xf numFmtId="0" fontId="0" fillId="3" borderId="54" xfId="0" applyFill="1" applyBorder="1" applyAlignment="1">
      <alignment horizontal="center" vertical="center"/>
    </xf>
    <xf numFmtId="0" fontId="0" fillId="3" borderId="243" xfId="0" applyFill="1" applyBorder="1" applyAlignment="1">
      <alignment horizontal="center" vertical="center"/>
    </xf>
    <xf numFmtId="0" fontId="0" fillId="3" borderId="411" xfId="0" applyFill="1" applyBorder="1" applyAlignment="1">
      <alignment horizontal="center" vertical="center"/>
    </xf>
    <xf numFmtId="0" fontId="0" fillId="3" borderId="87" xfId="0" applyFill="1" applyBorder="1" applyAlignment="1">
      <alignment horizontal="center" vertical="center"/>
    </xf>
    <xf numFmtId="0" fontId="0" fillId="3" borderId="296" xfId="0" applyFill="1" applyBorder="1" applyAlignment="1">
      <alignment horizontal="center" vertical="center"/>
    </xf>
    <xf numFmtId="0" fontId="0" fillId="9" borderId="470" xfId="0" applyFill="1" applyBorder="1" applyAlignment="1">
      <alignment horizontal="center" vertical="center"/>
    </xf>
    <xf numFmtId="0" fontId="0" fillId="9" borderId="486" xfId="0" applyFill="1" applyBorder="1" applyAlignment="1">
      <alignment horizontal="center" vertical="center"/>
    </xf>
    <xf numFmtId="0" fontId="0" fillId="9" borderId="492" xfId="0" applyFill="1" applyBorder="1" applyAlignment="1">
      <alignment horizontal="center" vertical="center"/>
    </xf>
    <xf numFmtId="0" fontId="0" fillId="9" borderId="493" xfId="0" applyFill="1" applyBorder="1" applyAlignment="1">
      <alignment horizontal="center" vertical="center"/>
    </xf>
    <xf numFmtId="0" fontId="0" fillId="9" borderId="494" xfId="0" applyFill="1" applyBorder="1" applyAlignment="1">
      <alignment horizontal="center" vertical="center"/>
    </xf>
    <xf numFmtId="0" fontId="0" fillId="9" borderId="473" xfId="0" applyFill="1" applyBorder="1" applyAlignment="1">
      <alignment horizontal="center" vertical="center"/>
    </xf>
    <xf numFmtId="0" fontId="0" fillId="9" borderId="476" xfId="0" applyFill="1" applyBorder="1" applyAlignment="1">
      <alignment horizontal="center" vertical="center"/>
    </xf>
    <xf numFmtId="0" fontId="0" fillId="9" borderId="475" xfId="0" applyFill="1" applyBorder="1" applyAlignment="1">
      <alignment horizontal="center" vertical="center"/>
    </xf>
    <xf numFmtId="0" fontId="0" fillId="9" borderId="472" xfId="0" applyFill="1" applyBorder="1" applyAlignment="1">
      <alignment horizontal="center" vertical="center"/>
    </xf>
    <xf numFmtId="0" fontId="0" fillId="0" borderId="470" xfId="0" applyBorder="1" applyAlignment="1">
      <alignment horizontal="center" vertical="center"/>
    </xf>
    <xf numFmtId="0" fontId="0" fillId="0" borderId="486" xfId="0" applyBorder="1" applyAlignment="1">
      <alignment horizontal="center" vertical="center"/>
    </xf>
    <xf numFmtId="0" fontId="0" fillId="3" borderId="482" xfId="0" applyFill="1" applyBorder="1" applyAlignment="1">
      <alignment horizontal="center" vertical="center"/>
    </xf>
    <xf numFmtId="0" fontId="0" fillId="3" borderId="89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129" fillId="9" borderId="474" xfId="4" applyFont="1" applyFill="1" applyBorder="1" applyProtection="1">
      <alignment horizontal="left" vertical="center" indent="1"/>
      <protection hidden="1"/>
    </xf>
    <xf numFmtId="0" fontId="129" fillId="9" borderId="489" xfId="4" applyFont="1" applyFill="1" applyBorder="1" applyProtection="1">
      <alignment horizontal="left" vertical="center" indent="1"/>
      <protection hidden="1"/>
    </xf>
    <xf numFmtId="0" fontId="129" fillId="9" borderId="487" xfId="4" applyFont="1" applyFill="1" applyBorder="1" applyProtection="1">
      <alignment horizontal="left" vertical="center" indent="1"/>
      <protection hidden="1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2" fontId="15" fillId="9" borderId="486" xfId="0" applyNumberFormat="1" applyFont="1" applyFill="1" applyBorder="1" applyAlignment="1" applyProtection="1">
      <alignment horizontal="center" vertical="center"/>
      <protection hidden="1"/>
    </xf>
    <xf numFmtId="0" fontId="130" fillId="9" borderId="491" xfId="4" applyFont="1" applyFill="1" applyBorder="1" applyProtection="1">
      <alignment horizontal="left" vertical="center" indent="1"/>
      <protection hidden="1"/>
    </xf>
    <xf numFmtId="0" fontId="130" fillId="9" borderId="490" xfId="4" applyFont="1" applyFill="1" applyBorder="1" applyProtection="1">
      <alignment horizontal="left" vertical="center" indent="1"/>
      <protection hidden="1"/>
    </xf>
    <xf numFmtId="0" fontId="129" fillId="9" borderId="490" xfId="4" applyFont="1" applyFill="1" applyBorder="1" applyProtection="1">
      <alignment horizontal="left" vertical="center" indent="1"/>
      <protection hidden="1"/>
    </xf>
    <xf numFmtId="0" fontId="129" fillId="9" borderId="488" xfId="4" applyFont="1" applyFill="1" applyBorder="1" applyProtection="1">
      <alignment horizontal="left" vertical="center" indent="1"/>
      <protection hidden="1"/>
    </xf>
    <xf numFmtId="0" fontId="43" fillId="3" borderId="57" xfId="0" applyFont="1" applyFill="1" applyBorder="1" applyAlignment="1">
      <alignment horizontal="center" vertical="center"/>
    </xf>
    <xf numFmtId="0" fontId="43" fillId="3" borderId="58" xfId="0" applyFont="1" applyFill="1" applyBorder="1" applyAlignment="1">
      <alignment horizontal="center" vertical="center"/>
    </xf>
    <xf numFmtId="0" fontId="43" fillId="3" borderId="204" xfId="0" applyFont="1" applyFill="1" applyBorder="1" applyAlignment="1">
      <alignment horizontal="center" vertical="center"/>
    </xf>
    <xf numFmtId="0" fontId="12" fillId="8" borderId="38" xfId="0" applyFont="1" applyFill="1" applyBorder="1" applyAlignment="1">
      <alignment horizontal="left" vertical="center"/>
    </xf>
    <xf numFmtId="0" fontId="12" fillId="8" borderId="0" xfId="0" applyFont="1" applyFill="1" applyAlignment="1">
      <alignment horizontal="left" vertical="center"/>
    </xf>
    <xf numFmtId="0" fontId="12" fillId="8" borderId="54" xfId="0" applyFont="1" applyFill="1" applyBorder="1" applyAlignment="1">
      <alignment horizontal="left" vertical="center"/>
    </xf>
    <xf numFmtId="0" fontId="0" fillId="9" borderId="63" xfId="0" applyFill="1" applyBorder="1" applyAlignment="1">
      <alignment horizontal="center" vertical="center"/>
    </xf>
    <xf numFmtId="0" fontId="0" fillId="9" borderId="64" xfId="0" applyFill="1" applyBorder="1" applyAlignment="1">
      <alignment horizontal="center" vertical="center"/>
    </xf>
    <xf numFmtId="0" fontId="0" fillId="9" borderId="62" xfId="0" applyFill="1" applyBorder="1" applyAlignment="1">
      <alignment horizontal="center" vertical="center"/>
    </xf>
    <xf numFmtId="0" fontId="12" fillId="8" borderId="180" xfId="0" applyFont="1" applyFill="1" applyBorder="1" applyAlignment="1">
      <alignment horizontal="left" vertical="center"/>
    </xf>
    <xf numFmtId="0" fontId="12" fillId="8" borderId="181" xfId="0" applyFont="1" applyFill="1" applyBorder="1" applyAlignment="1">
      <alignment horizontal="left" vertical="center"/>
    </xf>
    <xf numFmtId="0" fontId="12" fillId="8" borderId="416" xfId="0" applyFont="1" applyFill="1" applyBorder="1" applyAlignment="1">
      <alignment horizontal="left" vertical="center"/>
    </xf>
    <xf numFmtId="0" fontId="0" fillId="9" borderId="84" xfId="0" applyFill="1" applyBorder="1" applyAlignment="1">
      <alignment horizontal="center" vertical="center"/>
    </xf>
    <xf numFmtId="0" fontId="0" fillId="22" borderId="51" xfId="0" applyFill="1" applyBorder="1" applyAlignment="1">
      <alignment horizontal="center" vertical="center"/>
    </xf>
    <xf numFmtId="0" fontId="0" fillId="22" borderId="52" xfId="0" applyFill="1" applyBorder="1" applyAlignment="1">
      <alignment horizontal="center" vertical="center"/>
    </xf>
    <xf numFmtId="0" fontId="0" fillId="9" borderId="51" xfId="0" applyFill="1" applyBorder="1" applyAlignment="1">
      <alignment horizontal="center" vertical="center"/>
    </xf>
    <xf numFmtId="0" fontId="0" fillId="9" borderId="203" xfId="0" applyFill="1" applyBorder="1" applyAlignment="1">
      <alignment horizontal="center" vertical="center"/>
    </xf>
    <xf numFmtId="0" fontId="0" fillId="9" borderId="52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0" fillId="7" borderId="52" xfId="0" applyFill="1" applyBorder="1" applyAlignment="1">
      <alignment horizontal="center" vertical="center"/>
    </xf>
    <xf numFmtId="0" fontId="0" fillId="23" borderId="51" xfId="0" applyFill="1" applyBorder="1" applyAlignment="1">
      <alignment horizontal="center" vertical="center"/>
    </xf>
    <xf numFmtId="0" fontId="0" fillId="23" borderId="52" xfId="0" applyFill="1" applyBorder="1" applyAlignment="1">
      <alignment horizontal="center" vertical="center"/>
    </xf>
    <xf numFmtId="0" fontId="0" fillId="23" borderId="203" xfId="0" applyFill="1" applyBorder="1" applyAlignment="1">
      <alignment horizontal="center" vertical="center"/>
    </xf>
    <xf numFmtId="0" fontId="0" fillId="24" borderId="51" xfId="0" applyFill="1" applyBorder="1" applyAlignment="1">
      <alignment horizontal="center" vertical="center"/>
    </xf>
    <xf numFmtId="0" fontId="0" fillId="24" borderId="203" xfId="0" applyFill="1" applyBorder="1" applyAlignment="1">
      <alignment horizontal="center" vertical="center"/>
    </xf>
    <xf numFmtId="0" fontId="0" fillId="22" borderId="242" xfId="0" applyFill="1" applyBorder="1" applyAlignment="1">
      <alignment horizontal="center" vertical="center"/>
    </xf>
    <xf numFmtId="0" fontId="0" fillId="22" borderId="243" xfId="0" applyFill="1" applyBorder="1" applyAlignment="1">
      <alignment horizontal="center" vertical="center"/>
    </xf>
    <xf numFmtId="0" fontId="0" fillId="9" borderId="242" xfId="0" applyFill="1" applyBorder="1" applyAlignment="1">
      <alignment horizontal="center" vertical="center"/>
    </xf>
    <xf numFmtId="0" fontId="0" fillId="9" borderId="243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171" xfId="0" applyFill="1" applyBorder="1" applyAlignment="1">
      <alignment horizontal="center" vertical="center"/>
    </xf>
    <xf numFmtId="0" fontId="0" fillId="3" borderId="164" xfId="0" applyFill="1" applyBorder="1" applyAlignment="1">
      <alignment horizontal="center" vertical="center"/>
    </xf>
    <xf numFmtId="0" fontId="0" fillId="26" borderId="51" xfId="0" applyFill="1" applyBorder="1" applyAlignment="1">
      <alignment horizontal="center" vertical="center"/>
    </xf>
    <xf numFmtId="0" fontId="0" fillId="26" borderId="52" xfId="0" applyFill="1" applyBorder="1" applyAlignment="1">
      <alignment horizontal="center" vertical="center"/>
    </xf>
    <xf numFmtId="0" fontId="0" fillId="26" borderId="203" xfId="0" applyFill="1" applyBorder="1" applyAlignment="1">
      <alignment horizontal="center" vertical="center"/>
    </xf>
    <xf numFmtId="0" fontId="0" fillId="24" borderId="52" xfId="0" applyFill="1" applyBorder="1" applyAlignment="1">
      <alignment horizontal="center" vertical="center"/>
    </xf>
    <xf numFmtId="0" fontId="0" fillId="9" borderId="296" xfId="0" applyFill="1" applyBorder="1" applyAlignment="1">
      <alignment horizontal="center" vertical="center"/>
    </xf>
    <xf numFmtId="0" fontId="0" fillId="22" borderId="203" xfId="0" applyFill="1" applyBorder="1" applyAlignment="1">
      <alignment horizontal="center" vertical="center"/>
    </xf>
    <xf numFmtId="0" fontId="12" fillId="8" borderId="47" xfId="0" applyFont="1" applyFill="1" applyBorder="1" applyAlignment="1">
      <alignment horizontal="left" vertical="center"/>
    </xf>
    <xf numFmtId="0" fontId="12" fillId="8" borderId="48" xfId="0" applyFont="1" applyFill="1" applyBorder="1" applyAlignment="1">
      <alignment horizontal="left" vertical="center"/>
    </xf>
    <xf numFmtId="0" fontId="3" fillId="5" borderId="384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0" fillId="3" borderId="173" xfId="0" applyFill="1" applyBorder="1" applyAlignment="1">
      <alignment horizontal="center" vertical="center"/>
    </xf>
    <xf numFmtId="0" fontId="0" fillId="3" borderId="174" xfId="0" applyFill="1" applyBorder="1" applyAlignment="1">
      <alignment horizontal="center" vertical="center"/>
    </xf>
    <xf numFmtId="0" fontId="0" fillId="3" borderId="175" xfId="0" applyFill="1" applyBorder="1" applyAlignment="1">
      <alignment horizontal="center" vertical="center"/>
    </xf>
    <xf numFmtId="0" fontId="39" fillId="0" borderId="164" xfId="0" applyFont="1" applyBorder="1" applyAlignment="1">
      <alignment horizontal="center" vertical="top"/>
    </xf>
    <xf numFmtId="0" fontId="12" fillId="8" borderId="49" xfId="0" applyFont="1" applyFill="1" applyBorder="1" applyAlignment="1">
      <alignment horizontal="left" vertical="center"/>
    </xf>
    <xf numFmtId="0" fontId="8" fillId="9" borderId="62" xfId="0" applyFont="1" applyFill="1" applyBorder="1" applyAlignment="1">
      <alignment horizontal="center" vertical="center"/>
    </xf>
    <xf numFmtId="0" fontId="8" fillId="9" borderId="63" xfId="0" applyFont="1" applyFill="1" applyBorder="1" applyAlignment="1">
      <alignment horizontal="center" vertical="center"/>
    </xf>
    <xf numFmtId="0" fontId="8" fillId="9" borderId="64" xfId="0" applyFont="1" applyFill="1" applyBorder="1" applyAlignment="1">
      <alignment horizontal="center" vertical="center"/>
    </xf>
    <xf numFmtId="0" fontId="8" fillId="10" borderId="62" xfId="0" applyFont="1" applyFill="1" applyBorder="1" applyAlignment="1">
      <alignment horizontal="center" vertical="center"/>
    </xf>
    <xf numFmtId="0" fontId="8" fillId="10" borderId="63" xfId="0" applyFont="1" applyFill="1" applyBorder="1" applyAlignment="1">
      <alignment horizontal="center" vertical="center"/>
    </xf>
    <xf numFmtId="0" fontId="8" fillId="10" borderId="84" xfId="0" applyFont="1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0" fillId="3" borderId="49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54" xfId="0" applyFill="1" applyBorder="1" applyAlignment="1">
      <alignment horizontal="left" vertical="center"/>
    </xf>
    <xf numFmtId="0" fontId="40" fillId="3" borderId="50" xfId="0" applyFont="1" applyFill="1" applyBorder="1" applyAlignment="1">
      <alignment horizontal="left" vertical="center"/>
    </xf>
    <xf numFmtId="0" fontId="40" fillId="3" borderId="88" xfId="0" applyFont="1" applyFill="1" applyBorder="1" applyAlignment="1">
      <alignment horizontal="left" vertical="center"/>
    </xf>
    <xf numFmtId="0" fontId="40" fillId="3" borderId="56" xfId="0" applyFont="1" applyFill="1" applyBorder="1" applyAlignment="1">
      <alignment horizontal="left" vertical="center"/>
    </xf>
    <xf numFmtId="0" fontId="0" fillId="3" borderId="166" xfId="0" applyFill="1" applyBorder="1" applyAlignment="1">
      <alignment horizontal="center" vertical="center"/>
    </xf>
    <xf numFmtId="0" fontId="0" fillId="3" borderId="142" xfId="0" applyFill="1" applyBorder="1" applyAlignment="1">
      <alignment horizontal="center" vertical="center"/>
    </xf>
    <xf numFmtId="0" fontId="0" fillId="3" borderId="172" xfId="0" applyFill="1" applyBorder="1" applyAlignment="1">
      <alignment horizontal="center" vertical="center"/>
    </xf>
    <xf numFmtId="0" fontId="40" fillId="3" borderId="166" xfId="0" applyFont="1" applyFill="1" applyBorder="1" applyAlignment="1">
      <alignment horizontal="center" vertical="center"/>
    </xf>
    <xf numFmtId="0" fontId="40" fillId="3" borderId="142" xfId="0" applyFont="1" applyFill="1" applyBorder="1" applyAlignment="1">
      <alignment horizontal="center" vertical="center"/>
    </xf>
    <xf numFmtId="0" fontId="40" fillId="3" borderId="172" xfId="0" applyFont="1" applyFill="1" applyBorder="1" applyAlignment="1">
      <alignment horizontal="center" vertical="center"/>
    </xf>
    <xf numFmtId="0" fontId="12" fillId="3" borderId="32" xfId="0" quotePrefix="1" applyFont="1" applyFill="1" applyBorder="1" applyAlignment="1">
      <alignment horizontal="center" wrapText="1"/>
    </xf>
    <xf numFmtId="0" fontId="12" fillId="3" borderId="46" xfId="0" quotePrefix="1" applyFont="1" applyFill="1" applyBorder="1" applyAlignment="1">
      <alignment horizontal="center" wrapText="1"/>
    </xf>
    <xf numFmtId="0" fontId="12" fillId="3" borderId="33" xfId="0" applyFont="1" applyFill="1" applyBorder="1" applyAlignment="1">
      <alignment horizontal="center" wrapText="1"/>
    </xf>
    <xf numFmtId="0" fontId="12" fillId="3" borderId="34" xfId="0" applyFont="1" applyFill="1" applyBorder="1" applyAlignment="1">
      <alignment horizontal="center" wrapText="1"/>
    </xf>
    <xf numFmtId="0" fontId="12" fillId="3" borderId="32" xfId="0" applyFont="1" applyFill="1" applyBorder="1" applyAlignment="1">
      <alignment horizontal="center" wrapText="1"/>
    </xf>
    <xf numFmtId="0" fontId="0" fillId="9" borderId="57" xfId="0" applyFill="1" applyBorder="1" applyAlignment="1">
      <alignment horizontal="center" vertical="center"/>
    </xf>
    <xf numFmtId="0" fontId="0" fillId="9" borderId="204" xfId="0" applyFill="1" applyBorder="1" applyAlignment="1">
      <alignment horizontal="center" vertical="center"/>
    </xf>
    <xf numFmtId="0" fontId="0" fillId="9" borderId="417" xfId="0" applyFill="1" applyBorder="1" applyAlignment="1">
      <alignment horizontal="center" vertical="center"/>
    </xf>
    <xf numFmtId="0" fontId="0" fillId="9" borderId="412" xfId="0" applyFill="1" applyBorder="1" applyAlignment="1">
      <alignment horizontal="center" vertical="center"/>
    </xf>
    <xf numFmtId="0" fontId="0" fillId="9" borderId="418" xfId="0" applyFill="1" applyBorder="1" applyAlignment="1">
      <alignment horizontal="center" vertical="center"/>
    </xf>
    <xf numFmtId="0" fontId="0" fillId="9" borderId="413" xfId="0" applyFill="1" applyBorder="1" applyAlignment="1">
      <alignment horizontal="center" vertical="center"/>
    </xf>
    <xf numFmtId="0" fontId="0" fillId="3" borderId="57" xfId="0" applyFill="1" applyBorder="1" applyAlignment="1">
      <alignment horizontal="center" vertical="center"/>
    </xf>
    <xf numFmtId="0" fontId="0" fillId="3" borderId="59" xfId="0" applyFill="1" applyBorder="1" applyAlignment="1">
      <alignment horizontal="center" vertical="center"/>
    </xf>
    <xf numFmtId="0" fontId="0" fillId="9" borderId="59" xfId="0" applyFill="1" applyBorder="1" applyAlignment="1">
      <alignment horizontal="center" vertical="center"/>
    </xf>
    <xf numFmtId="0" fontId="0" fillId="22" borderId="53" xfId="0" applyFill="1" applyBorder="1" applyAlignment="1">
      <alignment horizontal="center" vertical="center"/>
    </xf>
    <xf numFmtId="0" fontId="0" fillId="23" borderId="53" xfId="0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8" fillId="7" borderId="48" xfId="0" applyFont="1" applyFill="1" applyBorder="1" applyAlignment="1">
      <alignment horizontal="center" vertical="center"/>
    </xf>
    <xf numFmtId="0" fontId="8" fillId="2" borderId="62" xfId="0" applyFont="1" applyFill="1" applyBorder="1" applyAlignment="1">
      <alignment horizontal="center" vertical="center"/>
    </xf>
    <xf numFmtId="0" fontId="8" fillId="2" borderId="63" xfId="0" applyFont="1" applyFill="1" applyBorder="1" applyAlignment="1">
      <alignment horizontal="center" vertical="center"/>
    </xf>
    <xf numFmtId="0" fontId="8" fillId="6" borderId="62" xfId="0" applyFont="1" applyFill="1" applyBorder="1" applyAlignment="1">
      <alignment horizontal="center" vertical="center"/>
    </xf>
    <xf numFmtId="0" fontId="8" fillId="6" borderId="63" xfId="0" applyFont="1" applyFill="1" applyBorder="1" applyAlignment="1">
      <alignment horizontal="center" vertical="center"/>
    </xf>
    <xf numFmtId="0" fontId="8" fillId="6" borderId="64" xfId="0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8" fillId="6" borderId="65" xfId="0" applyFont="1" applyFill="1" applyBorder="1" applyAlignment="1">
      <alignment horizontal="center" vertical="center"/>
    </xf>
    <xf numFmtId="0" fontId="12" fillId="3" borderId="31" xfId="0" quotePrefix="1" applyFont="1" applyFill="1" applyBorder="1" applyAlignment="1">
      <alignment horizontal="center" wrapText="1"/>
    </xf>
    <xf numFmtId="0" fontId="12" fillId="3" borderId="35" xfId="0" quotePrefix="1" applyFont="1" applyFill="1" applyBorder="1" applyAlignment="1">
      <alignment horizontal="center" wrapText="1"/>
    </xf>
    <xf numFmtId="0" fontId="0" fillId="14" borderId="0" xfId="0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3" fillId="27" borderId="0" xfId="0" applyFont="1" applyFill="1" applyAlignment="1">
      <alignment horizontal="center" vertical="center"/>
    </xf>
    <xf numFmtId="0" fontId="0" fillId="0" borderId="185" xfId="0" quotePrefix="1" applyBorder="1" applyAlignment="1">
      <alignment horizontal="center" vertical="center"/>
    </xf>
    <xf numFmtId="0" fontId="0" fillId="0" borderId="186" xfId="0" applyBorder="1" applyAlignment="1">
      <alignment horizontal="center" vertical="center"/>
    </xf>
    <xf numFmtId="0" fontId="0" fillId="0" borderId="187" xfId="0" applyBorder="1" applyAlignment="1">
      <alignment horizontal="center" vertical="center"/>
    </xf>
    <xf numFmtId="0" fontId="30" fillId="19" borderId="188" xfId="0" applyFont="1" applyFill="1" applyBorder="1" applyAlignment="1">
      <alignment horizontal="center" vertical="center"/>
    </xf>
    <xf numFmtId="0" fontId="51" fillId="17" borderId="181" xfId="0" applyFont="1" applyFill="1" applyBorder="1" applyAlignment="1">
      <alignment horizontal="center" vertical="center"/>
    </xf>
    <xf numFmtId="0" fontId="51" fillId="17" borderId="183" xfId="0" applyFont="1" applyFill="1" applyBorder="1" applyAlignment="1">
      <alignment horizontal="center" vertical="center"/>
    </xf>
    <xf numFmtId="0" fontId="12" fillId="8" borderId="183" xfId="0" applyFont="1" applyFill="1" applyBorder="1" applyAlignment="1">
      <alignment horizontal="left" vertical="center"/>
    </xf>
    <xf numFmtId="0" fontId="15" fillId="16" borderId="141" xfId="0" applyFont="1" applyFill="1" applyBorder="1" applyAlignment="1">
      <alignment horizontal="center" vertical="center"/>
    </xf>
    <xf numFmtId="0" fontId="15" fillId="16" borderId="292" xfId="0" applyFont="1" applyFill="1" applyBorder="1" applyAlignment="1">
      <alignment horizontal="center" vertical="center"/>
    </xf>
    <xf numFmtId="0" fontId="15" fillId="16" borderId="174" xfId="0" applyFont="1" applyFill="1" applyBorder="1" applyAlignment="1">
      <alignment horizontal="center" vertical="center"/>
    </xf>
    <xf numFmtId="0" fontId="15" fillId="16" borderId="150" xfId="0" applyFont="1" applyFill="1" applyBorder="1" applyAlignment="1">
      <alignment horizontal="center" vertical="center"/>
    </xf>
    <xf numFmtId="0" fontId="0" fillId="3" borderId="295" xfId="0" applyFill="1" applyBorder="1" applyAlignment="1">
      <alignment horizontal="center" vertical="center"/>
    </xf>
    <xf numFmtId="0" fontId="0" fillId="3" borderId="158" xfId="0" applyFill="1" applyBorder="1" applyAlignment="1">
      <alignment horizontal="center" vertical="center"/>
    </xf>
    <xf numFmtId="0" fontId="0" fillId="3" borderId="169" xfId="0" applyFill="1" applyBorder="1" applyAlignment="1">
      <alignment horizontal="center" vertical="center"/>
    </xf>
    <xf numFmtId="0" fontId="0" fillId="3" borderId="178" xfId="0" applyFill="1" applyBorder="1" applyAlignment="1">
      <alignment horizontal="center" vertical="center"/>
    </xf>
    <xf numFmtId="0" fontId="0" fillId="3" borderId="203" xfId="0" applyFill="1" applyBorder="1" applyAlignment="1">
      <alignment horizontal="center" vertical="center"/>
    </xf>
    <xf numFmtId="0" fontId="43" fillId="3" borderId="59" xfId="0" applyFont="1" applyFill="1" applyBorder="1" applyAlignment="1">
      <alignment horizontal="center" vertical="center"/>
    </xf>
    <xf numFmtId="0" fontId="0" fillId="24" borderId="53" xfId="0" applyFill="1" applyBorder="1" applyAlignment="1">
      <alignment horizontal="center" vertical="center"/>
    </xf>
    <xf numFmtId="0" fontId="0" fillId="7" borderId="88" xfId="0" applyFill="1" applyBorder="1" applyAlignment="1">
      <alignment horizontal="center" vertical="center"/>
    </xf>
    <xf numFmtId="0" fontId="0" fillId="7" borderId="90" xfId="0" applyFill="1" applyBorder="1" applyAlignment="1">
      <alignment horizontal="center" vertical="center"/>
    </xf>
    <xf numFmtId="0" fontId="0" fillId="7" borderId="57" xfId="0" applyFill="1" applyBorder="1" applyAlignment="1">
      <alignment horizontal="center" vertical="center"/>
    </xf>
    <xf numFmtId="0" fontId="0" fillId="7" borderId="58" xfId="0" applyFill="1" applyBorder="1" applyAlignment="1">
      <alignment horizontal="center" vertical="center"/>
    </xf>
    <xf numFmtId="0" fontId="0" fillId="7" borderId="204" xfId="0" applyFill="1" applyBorder="1" applyAlignment="1">
      <alignment horizontal="center" vertical="center"/>
    </xf>
    <xf numFmtId="0" fontId="0" fillId="3" borderId="0" xfId="0" applyFill="1" applyAlignment="1" applyProtection="1">
      <alignment horizontal="left" vertical="center" indent="1"/>
      <protection hidden="1"/>
    </xf>
    <xf numFmtId="0" fontId="0" fillId="3" borderId="50" xfId="0" applyFill="1" applyBorder="1" applyAlignment="1" applyProtection="1">
      <alignment horizontal="left" vertical="center" indent="1"/>
      <protection hidden="1"/>
    </xf>
    <xf numFmtId="0" fontId="0" fillId="3" borderId="88" xfId="0" applyFill="1" applyBorder="1" applyAlignment="1" applyProtection="1">
      <alignment horizontal="left" vertical="center" indent="1"/>
      <protection hidden="1"/>
    </xf>
    <xf numFmtId="0" fontId="0" fillId="3" borderId="56" xfId="0" applyFill="1" applyBorder="1" applyAlignment="1" applyProtection="1">
      <alignment horizontal="left" vertical="center" indent="1"/>
      <protection hidden="1"/>
    </xf>
    <xf numFmtId="0" fontId="0" fillId="26" borderId="53" xfId="0" applyFill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8" borderId="83" xfId="0" applyFill="1" applyBorder="1" applyAlignment="1">
      <alignment horizontal="center" vertical="center"/>
    </xf>
    <xf numFmtId="0" fontId="0" fillId="0" borderId="215" xfId="0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7" xfId="0" applyBorder="1" applyAlignment="1">
      <alignment horizontal="center" vertical="center"/>
    </xf>
    <xf numFmtId="0" fontId="15" fillId="3" borderId="282" xfId="4" applyFont="1" applyFill="1" applyBorder="1" applyProtection="1">
      <alignment horizontal="left" vertical="center" indent="1"/>
      <protection hidden="1"/>
    </xf>
    <xf numFmtId="0" fontId="0" fillId="9" borderId="487" xfId="0" applyFill="1" applyBorder="1" applyAlignment="1">
      <alignment horizontal="center" vertical="center"/>
    </xf>
    <xf numFmtId="0" fontId="0" fillId="9" borderId="488" xfId="0" applyFill="1" applyBorder="1" applyAlignment="1">
      <alignment horizontal="center" vertical="center"/>
    </xf>
    <xf numFmtId="0" fontId="0" fillId="9" borderId="489" xfId="0" applyFill="1" applyBorder="1" applyAlignment="1">
      <alignment horizontal="center" vertical="center"/>
    </xf>
    <xf numFmtId="0" fontId="15" fillId="6" borderId="190" xfId="0" applyFont="1" applyFill="1" applyBorder="1" applyAlignment="1" applyProtection="1">
      <alignment horizontal="center" vertical="center"/>
      <protection locked="0"/>
    </xf>
    <xf numFmtId="0" fontId="15" fillId="6" borderId="197" xfId="0" applyFont="1" applyFill="1" applyBorder="1" applyAlignment="1" applyProtection="1">
      <alignment horizontal="center" vertical="center"/>
      <protection locked="0"/>
    </xf>
    <xf numFmtId="0" fontId="15" fillId="6" borderId="16" xfId="0" applyFont="1" applyFill="1" applyBorder="1" applyAlignment="1" applyProtection="1">
      <alignment horizontal="center" vertical="center"/>
      <protection locked="0"/>
    </xf>
    <xf numFmtId="49" fontId="15" fillId="6" borderId="190" xfId="2" applyNumberFormat="1" applyFont="1" applyFill="1" applyBorder="1" applyAlignment="1" applyProtection="1">
      <alignment horizontal="center" vertical="center"/>
      <protection locked="0"/>
    </xf>
    <xf numFmtId="49" fontId="15" fillId="6" borderId="197" xfId="0" applyNumberFormat="1" applyFont="1" applyFill="1" applyBorder="1" applyAlignment="1" applyProtection="1">
      <alignment horizontal="center" vertical="center"/>
      <protection locked="0"/>
    </xf>
    <xf numFmtId="49" fontId="15" fillId="6" borderId="16" xfId="0" applyNumberFormat="1" applyFont="1" applyFill="1" applyBorder="1" applyAlignment="1" applyProtection="1">
      <alignment horizontal="center" vertical="center"/>
      <protection locked="0"/>
    </xf>
  </cellXfs>
  <cellStyles count="8">
    <cellStyle name="Comma" xfId="6" builtinId="3"/>
    <cellStyle name="Comma 2" xfId="7" xr:uid="{1FEF8B48-488E-4E2A-8FAC-905C00C11A32}"/>
    <cellStyle name="Hyperlink" xfId="2" builtinId="8"/>
    <cellStyle name="L+1" xfId="4" xr:uid="{AC2C613B-6887-4729-9B60-C3877A9E0778}"/>
    <cellStyle name="Normal" xfId="0" builtinId="0"/>
    <cellStyle name="Percent" xfId="1" builtinId="5"/>
    <cellStyle name="R+1" xfId="5" xr:uid="{081E43BC-CCDC-4377-8A73-3D88031CF6E9}"/>
    <cellStyle name="Standard 2" xfId="3" xr:uid="{77C7B614-C236-4ABA-AD49-6A96D9A9531C}"/>
  </cellStyles>
  <dxfs count="139">
    <dxf>
      <fill>
        <patternFill>
          <bgColor theme="0"/>
        </patternFill>
      </fill>
    </dxf>
    <dxf>
      <font>
        <color theme="2" tint="0.39994506668294322"/>
      </font>
    </dxf>
    <dxf>
      <font>
        <color theme="2" tint="0.59996337778862885"/>
      </font>
    </dxf>
    <dxf>
      <font>
        <color theme="0"/>
      </font>
    </dxf>
    <dxf>
      <font>
        <color theme="2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9"/>
        </patternFill>
      </fill>
      <border>
        <left/>
        <right/>
        <top/>
        <bottom/>
      </border>
    </dxf>
    <dxf>
      <font>
        <color theme="0"/>
      </font>
      <fill>
        <patternFill>
          <bgColor theme="9"/>
        </patternFill>
      </fill>
    </dxf>
    <dxf>
      <font>
        <color theme="5" tint="-0.24994659260841701"/>
      </font>
    </dxf>
    <dxf>
      <fill>
        <patternFill>
          <bgColor theme="0"/>
        </patternFill>
      </fill>
    </dxf>
    <dxf>
      <fill>
        <patternFill>
          <bgColor theme="7"/>
        </patternFill>
      </fill>
    </dxf>
    <dxf>
      <font>
        <b val="0"/>
        <i/>
        <color theme="7" tint="-0.24994659260841701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9"/>
      </font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9"/>
      </font>
    </dxf>
    <dxf>
      <font>
        <color theme="7" tint="-0.24994659260841701"/>
      </font>
    </dxf>
    <dxf>
      <font>
        <color theme="9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2" tint="0.79998168889431442"/>
      </font>
      <fill>
        <patternFill>
          <bgColor theme="2" tint="0.79998168889431442"/>
        </patternFill>
      </fill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2" tint="0.79998168889431442"/>
      </font>
      <fill>
        <patternFill>
          <bgColor theme="2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2" tint="0.79998168889431442"/>
      </font>
      <fill>
        <patternFill>
          <bgColor theme="2" tint="0.79998168889431442"/>
        </patternFill>
      </fill>
    </dxf>
    <dxf>
      <font>
        <color theme="9"/>
      </font>
    </dxf>
    <dxf>
      <font>
        <color theme="7" tint="-0.24994659260841701"/>
      </font>
    </dxf>
    <dxf>
      <font>
        <color theme="2"/>
      </font>
    </dxf>
    <dxf>
      <font>
        <color theme="5" tint="-0.24994659260841701"/>
      </font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2"/>
      </font>
    </dxf>
    <dxf>
      <font>
        <color theme="2" tint="0.59996337778862885"/>
      </font>
      <border>
        <vertical/>
        <horizontal/>
      </border>
    </dxf>
    <dxf>
      <font>
        <b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6" tint="0.39994506668294322"/>
      </font>
      <border>
        <vertical/>
        <horizontal/>
      </border>
    </dxf>
    <dxf>
      <font>
        <color theme="2" tint="0.79998168889431442"/>
      </font>
      <border>
        <vertical/>
        <horizontal/>
      </border>
    </dxf>
    <dxf>
      <font>
        <color theme="9"/>
      </font>
    </dxf>
    <dxf>
      <fill>
        <patternFill>
          <bgColor theme="2" tint="0.79998168889431442"/>
        </patternFill>
      </fill>
      <border>
        <vertical/>
        <horizontal/>
      </border>
    </dxf>
    <dxf>
      <border>
        <left/>
        <right/>
        <top/>
        <bottom/>
        <vertical/>
        <horizontal/>
      </border>
    </dxf>
    <dxf>
      <font>
        <color theme="2"/>
      </font>
      <border>
        <left style="thin">
          <color theme="2" tint="0.59996337778862885"/>
        </left>
        <right style="thin">
          <color theme="2" tint="0.59996337778862885"/>
        </right>
        <top style="thin">
          <color theme="2" tint="0.59996337778862885"/>
        </top>
        <bottom style="thin">
          <color theme="2" tint="0.59996337778862885"/>
        </bottom>
        <vertical/>
        <horizontal/>
      </border>
    </dxf>
    <dxf>
      <font>
        <color theme="6" tint="0.39994506668294322"/>
      </font>
      <border>
        <vertical/>
        <horizontal/>
      </border>
    </dxf>
    <dxf>
      <font>
        <color theme="2" tint="0.79998168889431442"/>
      </font>
    </dxf>
    <dxf>
      <font>
        <color theme="2" tint="0.7999816888943144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 tint="0.59996337778862885"/>
      </font>
      <border>
        <vertical/>
        <horizontal/>
      </border>
    </dxf>
    <dxf>
      <font>
        <color theme="9"/>
      </font>
    </dxf>
    <dxf>
      <font>
        <color theme="2" tint="0.79998168889431442"/>
      </font>
      <border>
        <vertical/>
        <horizontal/>
      </border>
    </dxf>
    <dxf>
      <font>
        <color theme="9"/>
      </font>
    </dxf>
    <dxf>
      <font>
        <color rgb="FFFF0000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6"/>
        </patternFill>
      </fill>
    </dxf>
    <dxf>
      <font>
        <b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9"/>
      </font>
    </dxf>
    <dxf>
      <fill>
        <patternFill>
          <bgColor theme="2" tint="0.79998168889431442"/>
        </patternFill>
      </fill>
      <border>
        <vertical/>
        <horizontal/>
      </border>
    </dxf>
    <dxf>
      <border>
        <left/>
        <right/>
        <top/>
        <bottom/>
        <vertical/>
        <horizontal/>
      </border>
    </dxf>
    <dxf>
      <font>
        <color theme="2"/>
      </font>
      <border>
        <left style="thin">
          <color theme="2" tint="0.59996337778862885"/>
        </left>
        <right style="thin">
          <color theme="2" tint="0.59996337778862885"/>
        </right>
        <top style="thin">
          <color theme="2" tint="0.59996337778862885"/>
        </top>
        <bottom style="thin">
          <color theme="2" tint="0.59996337778862885"/>
        </bottom>
        <vertical/>
        <horizontal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 tint="0.7999816888943144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/>
      </font>
    </dxf>
    <dxf>
      <font>
        <color theme="2"/>
      </font>
    </dxf>
    <dxf>
      <font>
        <color theme="2"/>
      </font>
    </dxf>
    <dxf>
      <font>
        <strike val="0"/>
        <u val="none"/>
        <color theme="9"/>
      </font>
    </dxf>
    <dxf>
      <font>
        <color theme="7" tint="-0.24994659260841701"/>
      </font>
      <fill>
        <patternFill>
          <bgColor theme="2" tint="0.79998168889431442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0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b/>
        <i val="0"/>
        <color theme="9"/>
      </font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9"/>
        </patternFill>
      </fill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9"/>
        </patternFill>
      </fill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color auto="1"/>
      </font>
    </dxf>
    <dxf>
      <font>
        <color theme="9"/>
      </font>
    </dxf>
    <dxf>
      <font>
        <color theme="2"/>
      </font>
    </dxf>
    <dxf>
      <font>
        <color theme="1"/>
      </font>
      <border>
        <vertical/>
        <horizontal/>
      </border>
    </dxf>
    <dxf>
      <font>
        <color theme="2" tint="-0.24994659260841701"/>
      </font>
      <border>
        <vertical/>
        <horizontal/>
      </border>
    </dxf>
    <dxf>
      <font>
        <color theme="1"/>
      </font>
      <border>
        <vertical/>
        <horizontal/>
      </border>
    </dxf>
    <dxf>
      <font>
        <color theme="1"/>
      </font>
      <border>
        <vertical/>
        <horizontal/>
      </border>
    </dxf>
    <dxf>
      <font>
        <color theme="1"/>
      </font>
      <border>
        <vertical/>
        <horizontal/>
      </border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theme="2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  <color theme="9"/>
      </font>
    </dxf>
    <dxf>
      <font>
        <color theme="0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2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theme="2" tint="0.79998168889431442"/>
      </font>
      <fill>
        <patternFill>
          <bgColor theme="2" tint="0.79998168889431442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fmlaLink="intern!I291" lockText="1" noThreeD="1"/>
</file>

<file path=xl/ctrlProps/ctrlProp101.xml><?xml version="1.0" encoding="utf-8"?>
<formControlPr xmlns="http://schemas.microsoft.com/office/spreadsheetml/2009/9/main" objectType="CheckBox" fmlaLink="intern!I295" lockText="1" noThreeD="1"/>
</file>

<file path=xl/ctrlProps/ctrlProp102.xml><?xml version="1.0" encoding="utf-8"?>
<formControlPr xmlns="http://schemas.microsoft.com/office/spreadsheetml/2009/9/main" objectType="CheckBox" fmlaLink="intern!I296" lockText="1" noThreeD="1"/>
</file>

<file path=xl/ctrlProps/ctrlProp103.xml><?xml version="1.0" encoding="utf-8"?>
<formControlPr xmlns="http://schemas.microsoft.com/office/spreadsheetml/2009/9/main" objectType="CheckBox" fmlaLink="intern!I299" lockText="1" noThreeD="1"/>
</file>

<file path=xl/ctrlProps/ctrlProp104.xml><?xml version="1.0" encoding="utf-8"?>
<formControlPr xmlns="http://schemas.microsoft.com/office/spreadsheetml/2009/9/main" objectType="CheckBox" fmlaLink="intern!I300" lockText="1" noThreeD="1"/>
</file>

<file path=xl/ctrlProps/ctrlProp105.xml><?xml version="1.0" encoding="utf-8"?>
<formControlPr xmlns="http://schemas.microsoft.com/office/spreadsheetml/2009/9/main" objectType="CheckBox" fmlaLink="intern!I305" lockText="1" noThreeD="1"/>
</file>

<file path=xl/ctrlProps/ctrlProp106.xml><?xml version="1.0" encoding="utf-8"?>
<formControlPr xmlns="http://schemas.microsoft.com/office/spreadsheetml/2009/9/main" objectType="CheckBox" fmlaLink="intern!I307" lockText="1" noThreeD="1"/>
</file>

<file path=xl/ctrlProps/ctrlProp107.xml><?xml version="1.0" encoding="utf-8"?>
<formControlPr xmlns="http://schemas.microsoft.com/office/spreadsheetml/2009/9/main" objectType="CheckBox" fmlaLink="intern!I308" lockText="1" noThreeD="1"/>
</file>

<file path=xl/ctrlProps/ctrlProp108.xml><?xml version="1.0" encoding="utf-8"?>
<formControlPr xmlns="http://schemas.microsoft.com/office/spreadsheetml/2009/9/main" objectType="CheckBox" fmlaLink="intern!I311" lockText="1" noThreeD="1"/>
</file>

<file path=xl/ctrlProps/ctrlProp109.xml><?xml version="1.0" encoding="utf-8"?>
<formControlPr xmlns="http://schemas.microsoft.com/office/spreadsheetml/2009/9/main" objectType="CheckBox" fmlaLink="intern!I313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fmlaLink="intern!I315" lockText="1" noThreeD="1"/>
</file>

<file path=xl/ctrlProps/ctrlProp111.xml><?xml version="1.0" encoding="utf-8"?>
<formControlPr xmlns="http://schemas.microsoft.com/office/spreadsheetml/2009/9/main" objectType="CheckBox" fmlaLink="intern!I316" lockText="1" noThreeD="1"/>
</file>

<file path=xl/ctrlProps/ctrlProp112.xml><?xml version="1.0" encoding="utf-8"?>
<formControlPr xmlns="http://schemas.microsoft.com/office/spreadsheetml/2009/9/main" objectType="CheckBox" fmlaLink="intern!I317" lockText="1" noThreeD="1"/>
</file>

<file path=xl/ctrlProps/ctrlProp113.xml><?xml version="1.0" encoding="utf-8"?>
<formControlPr xmlns="http://schemas.microsoft.com/office/spreadsheetml/2009/9/main" objectType="CheckBox" fmlaLink="intern!I318" lockText="1" noThreeD="1"/>
</file>

<file path=xl/ctrlProps/ctrlProp114.xml><?xml version="1.0" encoding="utf-8"?>
<formControlPr xmlns="http://schemas.microsoft.com/office/spreadsheetml/2009/9/main" objectType="CheckBox" fmlaLink="intern!I320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fmlaLink="intern!I250" lockText="1" noThreeD="1"/>
</file>

<file path=xl/ctrlProps/ctrlProp75.xml><?xml version="1.0" encoding="utf-8"?>
<formControlPr xmlns="http://schemas.microsoft.com/office/spreadsheetml/2009/9/main" objectType="CheckBox" fmlaLink="intern!I251" lockText="1" noThreeD="1"/>
</file>

<file path=xl/ctrlProps/ctrlProp76.xml><?xml version="1.0" encoding="utf-8"?>
<formControlPr xmlns="http://schemas.microsoft.com/office/spreadsheetml/2009/9/main" objectType="CheckBox" fmlaLink="intern!I252" lockText="1" noThreeD="1"/>
</file>

<file path=xl/ctrlProps/ctrlProp77.xml><?xml version="1.0" encoding="utf-8"?>
<formControlPr xmlns="http://schemas.microsoft.com/office/spreadsheetml/2009/9/main" objectType="CheckBox" fmlaLink="intern!I253" lockText="1" noThreeD="1"/>
</file>

<file path=xl/ctrlProps/ctrlProp78.xml><?xml version="1.0" encoding="utf-8"?>
<formControlPr xmlns="http://schemas.microsoft.com/office/spreadsheetml/2009/9/main" objectType="CheckBox" fmlaLink="intern!I254" lockText="1" noThreeD="1"/>
</file>

<file path=xl/ctrlProps/ctrlProp79.xml><?xml version="1.0" encoding="utf-8"?>
<formControlPr xmlns="http://schemas.microsoft.com/office/spreadsheetml/2009/9/main" objectType="CheckBox" fmlaLink="intern!I255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fmlaLink="intern!I256" lockText="1" noThreeD="1"/>
</file>

<file path=xl/ctrlProps/ctrlProp81.xml><?xml version="1.0" encoding="utf-8"?>
<formControlPr xmlns="http://schemas.microsoft.com/office/spreadsheetml/2009/9/main" objectType="CheckBox" fmlaLink="intern!I260" lockText="1" noThreeD="1"/>
</file>

<file path=xl/ctrlProps/ctrlProp82.xml><?xml version="1.0" encoding="utf-8"?>
<formControlPr xmlns="http://schemas.microsoft.com/office/spreadsheetml/2009/9/main" objectType="CheckBox" fmlaLink="intern!I261" lockText="1" noThreeD="1"/>
</file>

<file path=xl/ctrlProps/ctrlProp83.xml><?xml version="1.0" encoding="utf-8"?>
<formControlPr xmlns="http://schemas.microsoft.com/office/spreadsheetml/2009/9/main" objectType="CheckBox" fmlaLink="intern!I265" lockText="1" noThreeD="1"/>
</file>

<file path=xl/ctrlProps/ctrlProp84.xml><?xml version="1.0" encoding="utf-8"?>
<formControlPr xmlns="http://schemas.microsoft.com/office/spreadsheetml/2009/9/main" objectType="CheckBox" fmlaLink="intern!I266" lockText="1" noThreeD="1"/>
</file>

<file path=xl/ctrlProps/ctrlProp85.xml><?xml version="1.0" encoding="utf-8"?>
<formControlPr xmlns="http://schemas.microsoft.com/office/spreadsheetml/2009/9/main" objectType="CheckBox" fmlaLink="intern!I267" lockText="1" noThreeD="1"/>
</file>

<file path=xl/ctrlProps/ctrlProp86.xml><?xml version="1.0" encoding="utf-8"?>
<formControlPr xmlns="http://schemas.microsoft.com/office/spreadsheetml/2009/9/main" objectType="CheckBox" fmlaLink="intern!I268" lockText="1" noThreeD="1"/>
</file>

<file path=xl/ctrlProps/ctrlProp87.xml><?xml version="1.0" encoding="utf-8"?>
<formControlPr xmlns="http://schemas.microsoft.com/office/spreadsheetml/2009/9/main" objectType="CheckBox" fmlaLink="intern!I272" lockText="1" noThreeD="1"/>
</file>

<file path=xl/ctrlProps/ctrlProp88.xml><?xml version="1.0" encoding="utf-8"?>
<formControlPr xmlns="http://schemas.microsoft.com/office/spreadsheetml/2009/9/main" objectType="CheckBox" fmlaLink="intern!I273" lockText="1" noThreeD="1"/>
</file>

<file path=xl/ctrlProps/ctrlProp89.xml><?xml version="1.0" encoding="utf-8"?>
<formControlPr xmlns="http://schemas.microsoft.com/office/spreadsheetml/2009/9/main" objectType="CheckBox" fmlaLink="intern!I274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fmlaLink="intern!I275" lockText="1" noThreeD="1"/>
</file>

<file path=xl/ctrlProps/ctrlProp91.xml><?xml version="1.0" encoding="utf-8"?>
<formControlPr xmlns="http://schemas.microsoft.com/office/spreadsheetml/2009/9/main" objectType="CheckBox" fmlaLink="intern!I279" lockText="1" noThreeD="1"/>
</file>

<file path=xl/ctrlProps/ctrlProp92.xml><?xml version="1.0" encoding="utf-8"?>
<formControlPr xmlns="http://schemas.microsoft.com/office/spreadsheetml/2009/9/main" objectType="CheckBox" fmlaLink="intern!I280" lockText="1" noThreeD="1"/>
</file>

<file path=xl/ctrlProps/ctrlProp93.xml><?xml version="1.0" encoding="utf-8"?>
<formControlPr xmlns="http://schemas.microsoft.com/office/spreadsheetml/2009/9/main" objectType="CheckBox" fmlaLink="intern!I284" lockText="1" noThreeD="1"/>
</file>

<file path=xl/ctrlProps/ctrlProp94.xml><?xml version="1.0" encoding="utf-8"?>
<formControlPr xmlns="http://schemas.microsoft.com/office/spreadsheetml/2009/9/main" objectType="CheckBox" fmlaLink="intern!I285" lockText="1" noThreeD="1"/>
</file>

<file path=xl/ctrlProps/ctrlProp95.xml><?xml version="1.0" encoding="utf-8"?>
<formControlPr xmlns="http://schemas.microsoft.com/office/spreadsheetml/2009/9/main" objectType="CheckBox" fmlaLink="intern!I286" lockText="1" noThreeD="1"/>
</file>

<file path=xl/ctrlProps/ctrlProp96.xml><?xml version="1.0" encoding="utf-8"?>
<formControlPr xmlns="http://schemas.microsoft.com/office/spreadsheetml/2009/9/main" objectType="CheckBox" fmlaLink="intern!I287" lockText="1" noThreeD="1"/>
</file>

<file path=xl/ctrlProps/ctrlProp97.xml><?xml version="1.0" encoding="utf-8"?>
<formControlPr xmlns="http://schemas.microsoft.com/office/spreadsheetml/2009/9/main" objectType="CheckBox" fmlaLink="intern!I288" lockText="1" noThreeD="1"/>
</file>

<file path=xl/ctrlProps/ctrlProp98.xml><?xml version="1.0" encoding="utf-8"?>
<formControlPr xmlns="http://schemas.microsoft.com/office/spreadsheetml/2009/9/main" objectType="CheckBox" fmlaLink="intern!I289" lockText="1" noThreeD="1"/>
</file>

<file path=xl/ctrlProps/ctrlProp99.xml><?xml version="1.0" encoding="utf-8"?>
<formControlPr xmlns="http://schemas.microsoft.com/office/spreadsheetml/2009/9/main" objectType="CheckBox" fmlaLink="intern!I290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8.png"/><Relationship Id="rId18" Type="http://schemas.openxmlformats.org/officeDocument/2006/relationships/hyperlink" Target="#'D &#9642; Kostenanalyse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5.png"/><Relationship Id="rId12" Type="http://schemas.openxmlformats.org/officeDocument/2006/relationships/hyperlink" Target="https://radparken.info/wirkungsrechner/" TargetMode="External"/><Relationship Id="rId17" Type="http://schemas.openxmlformats.org/officeDocument/2006/relationships/hyperlink" Target="#'C &#9642; Ergebnisjustierung'!A4"/><Relationship Id="rId2" Type="http://schemas.openxmlformats.org/officeDocument/2006/relationships/image" Target="../media/image1.png"/><Relationship Id="rId16" Type="http://schemas.openxmlformats.org/officeDocument/2006/relationships/hyperlink" Target="#'B &#9642; Parametereingabe'!A4"/><Relationship Id="rId20" Type="http://schemas.openxmlformats.org/officeDocument/2006/relationships/hyperlink" Target="#'F &#9642; Kurzbericht'!A4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4.png"/><Relationship Id="rId11" Type="http://schemas.openxmlformats.org/officeDocument/2006/relationships/hyperlink" Target="https://www.vbb.de/vbb-themen/bahnhofskonzepte/bike-and-ride-anlagen/landesfoerderung-ueber-die-richtlinie-oepnv-invest/" TargetMode="External"/><Relationship Id="rId5" Type="http://schemas.openxmlformats.org/officeDocument/2006/relationships/image" Target="../media/image3.png"/><Relationship Id="rId15" Type="http://schemas.openxmlformats.org/officeDocument/2006/relationships/hyperlink" Target="#'A &#9642; Bestandseingabe'!A4"/><Relationship Id="rId10" Type="http://schemas.openxmlformats.org/officeDocument/2006/relationships/image" Target="../media/image7.png"/><Relationship Id="rId19" Type="http://schemas.openxmlformats.org/officeDocument/2006/relationships/hyperlink" Target="#'E &#9642; Projektbeschreibung'!A4"/><Relationship Id="rId4" Type="http://schemas.openxmlformats.org/officeDocument/2006/relationships/image" Target="../media/image2.png"/><Relationship Id="rId9" Type="http://schemas.openxmlformats.org/officeDocument/2006/relationships/hyperlink" Target="https://bahnstadt.de" TargetMode="External"/><Relationship Id="rId14" Type="http://schemas.openxmlformats.org/officeDocument/2006/relationships/hyperlink" Target="#'Z&#228;hlung Bestand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A &#9642; Bestandseingabe'!A4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D &#9642; Kostenanalyse'!A4"/><Relationship Id="rId5" Type="http://schemas.openxmlformats.org/officeDocument/2006/relationships/image" Target="../media/image11.jpg"/><Relationship Id="rId10" Type="http://schemas.openxmlformats.org/officeDocument/2006/relationships/hyperlink" Target="#'C &#9642; Ergebnisjustierung'!A4"/><Relationship Id="rId4" Type="http://schemas.openxmlformats.org/officeDocument/2006/relationships/image" Target="../media/image2.png"/><Relationship Id="rId9" Type="http://schemas.openxmlformats.org/officeDocument/2006/relationships/hyperlink" Target="#'B &#9642; Parametereingabe'!A4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hyperlink" Target="#'Startseite und Basisinfos'!A4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11.jpg"/><Relationship Id="rId11" Type="http://schemas.openxmlformats.org/officeDocument/2006/relationships/hyperlink" Target="#'D &#9642; Kostenanalyse'!A4"/><Relationship Id="rId5" Type="http://schemas.openxmlformats.org/officeDocument/2006/relationships/hyperlink" Target="#'B &#9642; Parametereingabe'!A4"/><Relationship Id="rId10" Type="http://schemas.openxmlformats.org/officeDocument/2006/relationships/hyperlink" Target="#'C &#9642; Ergebnisjustierung'!A4"/><Relationship Id="rId4" Type="http://schemas.openxmlformats.org/officeDocument/2006/relationships/image" Target="../media/image2.png"/><Relationship Id="rId9" Type="http://schemas.openxmlformats.org/officeDocument/2006/relationships/hyperlink" Target="#'Z&#228;hlung Bestand'!A4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hyperlink" Target="#'Startseite und Basisinfos'!A4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11.jpg"/><Relationship Id="rId11" Type="http://schemas.openxmlformats.org/officeDocument/2006/relationships/hyperlink" Target="#'D &#9642; Kostenanalyse'!A4"/><Relationship Id="rId5" Type="http://schemas.openxmlformats.org/officeDocument/2006/relationships/hyperlink" Target="#'C &#9642; Ergebnisjustierung'!A4"/><Relationship Id="rId10" Type="http://schemas.openxmlformats.org/officeDocument/2006/relationships/hyperlink" Target="#'A &#9642; Bestandseingabe'!A4"/><Relationship Id="rId4" Type="http://schemas.openxmlformats.org/officeDocument/2006/relationships/image" Target="../media/image2.png"/><Relationship Id="rId9" Type="http://schemas.openxmlformats.org/officeDocument/2006/relationships/hyperlink" Target="#'Z&#228;hlung Bestand'!A4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hyperlink" Target="#'Startseite und Basisinfos'!A4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11.jpg"/><Relationship Id="rId11" Type="http://schemas.openxmlformats.org/officeDocument/2006/relationships/hyperlink" Target="#'B &#9642; Parametereingabe'!A4"/><Relationship Id="rId5" Type="http://schemas.openxmlformats.org/officeDocument/2006/relationships/hyperlink" Target="#'D &#9642; Kostenanalyse'!A4"/><Relationship Id="rId10" Type="http://schemas.openxmlformats.org/officeDocument/2006/relationships/hyperlink" Target="#'A &#9642; Bestandseingabe'!A4"/><Relationship Id="rId4" Type="http://schemas.openxmlformats.org/officeDocument/2006/relationships/image" Target="../media/image2.png"/><Relationship Id="rId9" Type="http://schemas.openxmlformats.org/officeDocument/2006/relationships/hyperlink" Target="#'Z&#228;hlung Bestand'!A4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Z&#228;hlung Bestand'!A4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C &#9642; Ergebnisjustierung'!A4"/><Relationship Id="rId5" Type="http://schemas.openxmlformats.org/officeDocument/2006/relationships/image" Target="../media/image11.jpg"/><Relationship Id="rId10" Type="http://schemas.openxmlformats.org/officeDocument/2006/relationships/hyperlink" Target="#'B &#9642; Parametereingabe'!A4"/><Relationship Id="rId4" Type="http://schemas.openxmlformats.org/officeDocument/2006/relationships/image" Target="../media/image2.png"/><Relationship Id="rId9" Type="http://schemas.openxmlformats.org/officeDocument/2006/relationships/hyperlink" Target="#'A &#9642; Bestandseingabe'!A4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Z&#228;hlung Bestand'!A4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D &#9642; Kostenanalyse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C &#9642; Ergebnisjustierung'!A4"/><Relationship Id="rId5" Type="http://schemas.openxmlformats.org/officeDocument/2006/relationships/image" Target="../media/image11.jpg"/><Relationship Id="rId10" Type="http://schemas.openxmlformats.org/officeDocument/2006/relationships/hyperlink" Target="#'B &#9642; Parametereingabe'!A4"/><Relationship Id="rId4" Type="http://schemas.openxmlformats.org/officeDocument/2006/relationships/image" Target="../media/image2.png"/><Relationship Id="rId9" Type="http://schemas.openxmlformats.org/officeDocument/2006/relationships/hyperlink" Target="#'A &#9642; Bestandseingabe'!A4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Z&#228;hlung Bestand'!A4"/><Relationship Id="rId13" Type="http://schemas.openxmlformats.org/officeDocument/2006/relationships/hyperlink" Target="#'E &#9642; Projektbeschreibung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D &#9642; Kostenanalyse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C &#9642; Ergebnisjustierung'!A4"/><Relationship Id="rId5" Type="http://schemas.openxmlformats.org/officeDocument/2006/relationships/image" Target="../media/image11.jpg"/><Relationship Id="rId10" Type="http://schemas.openxmlformats.org/officeDocument/2006/relationships/hyperlink" Target="#'B &#9642; Parametereingabe'!A4"/><Relationship Id="rId4" Type="http://schemas.openxmlformats.org/officeDocument/2006/relationships/image" Target="../media/image2.png"/><Relationship Id="rId9" Type="http://schemas.openxmlformats.org/officeDocument/2006/relationships/hyperlink" Target="#'A &#9642; Bestandseingabe'!A4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Z_3"/><Relationship Id="rId7" Type="http://schemas.openxmlformats.org/officeDocument/2006/relationships/hyperlink" Target="#Z_7"/><Relationship Id="rId2" Type="http://schemas.openxmlformats.org/officeDocument/2006/relationships/hyperlink" Target="#Z_2"/><Relationship Id="rId1" Type="http://schemas.openxmlformats.org/officeDocument/2006/relationships/hyperlink" Target="#Z_1"/><Relationship Id="rId6" Type="http://schemas.openxmlformats.org/officeDocument/2006/relationships/hyperlink" Target="#Z_6"/><Relationship Id="rId5" Type="http://schemas.openxmlformats.org/officeDocument/2006/relationships/hyperlink" Target="#Z_5"/><Relationship Id="rId4" Type="http://schemas.openxmlformats.org/officeDocument/2006/relationships/hyperlink" Target="#Z_4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266</xdr:row>
      <xdr:rowOff>116966</xdr:rowOff>
    </xdr:from>
    <xdr:to>
      <xdr:col>24</xdr:col>
      <xdr:colOff>0</xdr:colOff>
      <xdr:row>268</xdr:row>
      <xdr:rowOff>0</xdr:rowOff>
    </xdr:to>
    <xdr:grpSp>
      <xdr:nvGrpSpPr>
        <xdr:cNvPr id="15" name="Footer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0" y="58257566"/>
          <a:ext cx="12915900" cy="787909"/>
          <a:chOff x="0" y="57800366"/>
          <a:chExt cx="12915900" cy="787909"/>
        </a:xfrm>
      </xdr:grpSpPr>
      <xdr:sp macro="" textlink="">
        <xdr:nvSpPr>
          <xdr:cNvPr id="21" name="Spacer Footer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8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13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502</xdr:colOff>
      <xdr:row>96</xdr:row>
      <xdr:rowOff>1</xdr:rowOff>
    </xdr:from>
    <xdr:to>
      <xdr:col>20</xdr:col>
      <xdr:colOff>499</xdr:colOff>
      <xdr:row>152</xdr:row>
      <xdr:rowOff>201401</xdr:rowOff>
    </xdr:to>
    <xdr:pic>
      <xdr:nvPicPr>
        <xdr:cNvPr id="4" name="Grafik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362452" y="19002376"/>
          <a:ext cx="11658597" cy="1300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163</xdr:row>
      <xdr:rowOff>0</xdr:rowOff>
    </xdr:from>
    <xdr:to>
      <xdr:col>20</xdr:col>
      <xdr:colOff>1001</xdr:colOff>
      <xdr:row>185</xdr:row>
      <xdr:rowOff>142124</xdr:rowOff>
    </xdr:to>
    <xdr:pic>
      <xdr:nvPicPr>
        <xdr:cNvPr id="25" name="Grafik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/>
      </xdr:blipFill>
      <xdr:spPr>
        <a:xfrm>
          <a:off x="361950" y="31118175"/>
          <a:ext cx="11659601" cy="5171324"/>
        </a:xfrm>
        <a:prstGeom prst="rect">
          <a:avLst/>
        </a:prstGeom>
      </xdr:spPr>
    </xdr:pic>
    <xdr:clientData/>
  </xdr:twoCellAnchor>
  <xdr:twoCellAnchor editAs="oneCell">
    <xdr:from>
      <xdr:col>2</xdr:col>
      <xdr:colOff>501</xdr:colOff>
      <xdr:row>190</xdr:row>
      <xdr:rowOff>0</xdr:rowOff>
    </xdr:from>
    <xdr:to>
      <xdr:col>20</xdr:col>
      <xdr:colOff>499</xdr:colOff>
      <xdr:row>262</xdr:row>
      <xdr:rowOff>200877</xdr:rowOff>
    </xdr:to>
    <xdr:pic>
      <xdr:nvPicPr>
        <xdr:cNvPr id="5" name="Grafik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/>
      </xdr:blipFill>
      <xdr:spPr>
        <a:xfrm>
          <a:off x="362451" y="41043225"/>
          <a:ext cx="11658598" cy="16660077"/>
        </a:xfrm>
        <a:prstGeom prst="rect">
          <a:avLst/>
        </a:prstGeom>
      </xdr:spPr>
    </xdr:pic>
    <xdr:clientData/>
  </xdr:twoCellAnchor>
  <xdr:twoCellAnchor>
    <xdr:from>
      <xdr:col>2</xdr:col>
      <xdr:colOff>41214</xdr:colOff>
      <xdr:row>71</xdr:row>
      <xdr:rowOff>680</xdr:rowOff>
    </xdr:from>
    <xdr:to>
      <xdr:col>11</xdr:col>
      <xdr:colOff>468923</xdr:colOff>
      <xdr:row>76</xdr:row>
      <xdr:rowOff>183766</xdr:rowOff>
    </xdr:to>
    <xdr:grpSp>
      <xdr:nvGrpSpPr>
        <xdr:cNvPr id="7" name="Navigation Legend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403164" y="13735730"/>
          <a:ext cx="6257009" cy="1497536"/>
          <a:chOff x="403164" y="10459130"/>
          <a:chExt cx="6257009" cy="1497536"/>
        </a:xfrm>
      </xdr:grpSpPr>
      <xdr:sp macro="" textlink="">
        <xdr:nvSpPr>
          <xdr:cNvPr id="51" name="Arrow: Bent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/>
        </xdr:nvSpPr>
        <xdr:spPr>
          <a:xfrm rot="16200000">
            <a:off x="1024913" y="10500618"/>
            <a:ext cx="859707" cy="1641092"/>
          </a:xfrm>
          <a:prstGeom prst="bentArrow">
            <a:avLst>
              <a:gd name="adj1" fmla="val 12813"/>
              <a:gd name="adj2" fmla="val 16977"/>
              <a:gd name="adj3" fmla="val 21761"/>
              <a:gd name="adj4" fmla="val 30616"/>
            </a:avLst>
          </a:prstGeom>
          <a:solidFill>
            <a:schemeClr val="bg2">
              <a:lumMod val="40000"/>
              <a:lumOff val="60000"/>
            </a:schemeClr>
          </a:solidFill>
          <a:ln w="63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>
              <a:solidFill>
                <a:schemeClr val="tx1"/>
              </a:solidFill>
            </a:endParaRPr>
          </a:p>
        </xdr:txBody>
      </xdr:sp>
      <xdr:sp macro="" textlink="">
        <xdr:nvSpPr>
          <xdr:cNvPr id="28" name="Arrow: Bent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 rot="16200000">
            <a:off x="737531" y="10415213"/>
            <a:ext cx="1207086" cy="1875820"/>
          </a:xfrm>
          <a:prstGeom prst="bentArrow">
            <a:avLst>
              <a:gd name="adj1" fmla="val 9408"/>
              <a:gd name="adj2" fmla="val 12027"/>
              <a:gd name="adj3" fmla="val 17018"/>
              <a:gd name="adj4" fmla="val 39878"/>
            </a:avLst>
          </a:prstGeom>
          <a:solidFill>
            <a:schemeClr val="bg2">
              <a:lumMod val="40000"/>
              <a:lumOff val="60000"/>
            </a:schemeClr>
          </a:solidFill>
          <a:ln w="63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>
              <a:solidFill>
                <a:schemeClr val="tx1"/>
              </a:solidFill>
            </a:endParaRPr>
          </a:p>
        </xdr:txBody>
      </xdr:sp>
      <xdr:sp macro="" textlink="">
        <xdr:nvSpPr>
          <xdr:cNvPr id="29" name="Arrow: Up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2425933" y="10858500"/>
            <a:ext cx="26645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0" name="Arrow: Up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3287640" y="10858500"/>
            <a:ext cx="26645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2" name="Arrow: Up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 rot="20172340">
            <a:off x="1562102" y="10887741"/>
            <a:ext cx="268576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3" name="Arrow: Up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 rot="1427660" flipH="1">
            <a:off x="5873768" y="10887741"/>
            <a:ext cx="26757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7" name="Arrow: Up 76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/>
        </xdr:nvSpPr>
        <xdr:spPr>
          <a:xfrm>
            <a:off x="4149348" y="10858500"/>
            <a:ext cx="267455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8" name="Arrow: Up 7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/>
        </xdr:nvSpPr>
        <xdr:spPr>
          <a:xfrm>
            <a:off x="5012058" y="10858500"/>
            <a:ext cx="26645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grpSp>
        <xdr:nvGrpSpPr>
          <xdr:cNvPr id="58" name="Navigation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GrpSpPr/>
        </xdr:nvGrpSpPr>
        <xdr:grpSpPr>
          <a:xfrm>
            <a:off x="414595" y="10459130"/>
            <a:ext cx="6245578" cy="183363"/>
            <a:chOff x="364671" y="206249"/>
            <a:chExt cx="9662855" cy="270879"/>
          </a:xfrm>
        </xdr:grpSpPr>
        <xdr:sp macro="" textlink="">
          <xdr:nvSpPr>
            <xdr:cNvPr id="67" name="0 Home-Button">
              <a:extLst>
                <a:ext uri="{FF2B5EF4-FFF2-40B4-BE49-F238E27FC236}">
                  <a16:creationId xmlns:a16="http://schemas.microsoft.com/office/drawing/2014/main" id="{00000000-0008-0000-0000-000043000000}"/>
                </a:ext>
              </a:extLst>
            </xdr:cNvPr>
            <xdr:cNvSpPr/>
          </xdr:nvSpPr>
          <xdr:spPr>
            <a:xfrm>
              <a:off x="364671" y="206249"/>
              <a:ext cx="1950691" cy="270879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75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72000" tIns="0" rIns="0" bIns="0" rtlCol="0" anchor="t" anchorCtr="0"/>
            <a:lstStyle/>
            <a:p>
              <a:endParaRPr lang="de-DE" sz="13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pic>
          <xdr:nvPicPr>
            <xdr:cNvPr id="68" name="Home-Button-white">
              <a:extLst>
                <a:ext uri="{FF2B5EF4-FFF2-40B4-BE49-F238E27FC236}">
                  <a16:creationId xmlns:a16="http://schemas.microsoft.com/office/drawing/2014/main" id="{00000000-0008-0000-0000-00004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/>
            <a:srcRect/>
            <a:stretch/>
          </xdr:blipFill>
          <xdr:spPr>
            <a:xfrm>
              <a:off x="456620" y="263342"/>
              <a:ext cx="215823" cy="173755"/>
            </a:xfrm>
            <a:prstGeom prst="rect">
              <a:avLst/>
            </a:prstGeom>
          </xdr:spPr>
        </xdr:pic>
        <xdr:sp macro="" textlink="">
          <xdr:nvSpPr>
            <xdr:cNvPr id="69" name="00 Bestansaufnahme">
              <a:extLst>
                <a:ext uri="{FF2B5EF4-FFF2-40B4-BE49-F238E27FC236}">
                  <a16:creationId xmlns:a16="http://schemas.microsoft.com/office/drawing/2014/main" id="{00000000-0008-0000-0000-000045000000}"/>
                </a:ext>
              </a:extLst>
            </xdr:cNvPr>
            <xdr:cNvSpPr/>
          </xdr:nvSpPr>
          <xdr:spPr>
            <a:xfrm>
              <a:off x="746895" y="206249"/>
              <a:ext cx="1949150" cy="270879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72000" tIns="0" rIns="0" bIns="0" rtlCol="0" anchor="t" anchorCtr="0"/>
            <a:lstStyle/>
            <a:p>
              <a:endParaRPr lang="de-DE" sz="13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0" name="123 Bestandsaufnahme">
              <a:extLst>
                <a:ext uri="{FF2B5EF4-FFF2-40B4-BE49-F238E27FC236}">
                  <a16:creationId xmlns:a16="http://schemas.microsoft.com/office/drawing/2014/main" id="{00000000-0008-0000-0000-000046000000}"/>
                </a:ext>
              </a:extLst>
            </xdr:cNvPr>
            <xdr:cNvSpPr txBox="1"/>
          </xdr:nvSpPr>
          <xdr:spPr>
            <a:xfrm>
              <a:off x="792133" y="259698"/>
              <a:ext cx="276819" cy="1943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pPr algn="ctr"/>
              <a:r>
                <a:rPr lang="de-DE" sz="800" b="0" i="1">
                  <a:solidFill>
                    <a:schemeClr val="accent3">
                      <a:lumMod val="50000"/>
                    </a:schemeClr>
                  </a:solidFill>
                </a:rPr>
                <a:t>123</a:t>
              </a:r>
            </a:p>
          </xdr:txBody>
        </xdr:sp>
        <xdr:sp macro="" textlink="">
          <xdr:nvSpPr>
            <xdr:cNvPr id="71" name="A Bestandseingabe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SpPr/>
          </xdr:nvSpPr>
          <xdr:spPr>
            <a:xfrm>
              <a:off x="1099947" y="206249"/>
              <a:ext cx="1842297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A ▪</a:t>
              </a:r>
              <a:r>
                <a:rPr lang="de-DE" sz="800" b="0" baseline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Bestandseingabe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2" name="B Parametereingabe">
              <a:extLst>
                <a:ext uri="{FF2B5EF4-FFF2-40B4-BE49-F238E27FC236}">
                  <a16:creationId xmlns:a16="http://schemas.microsoft.com/office/drawing/2014/main" id="{00000000-0008-0000-0000-000048000000}"/>
                </a:ext>
              </a:extLst>
            </xdr:cNvPr>
            <xdr:cNvSpPr/>
          </xdr:nvSpPr>
          <xdr:spPr>
            <a:xfrm>
              <a:off x="2602539" y="206249"/>
              <a:ext cx="1983725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B ▪ Parametereingabe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3" name="C Ergebnisjustierung">
              <a:extLst>
                <a:ext uri="{FF2B5EF4-FFF2-40B4-BE49-F238E27FC236}">
                  <a16:creationId xmlns:a16="http://schemas.microsoft.com/office/drawing/2014/main" id="{00000000-0008-0000-0000-000049000000}"/>
                </a:ext>
              </a:extLst>
            </xdr:cNvPr>
            <xdr:cNvSpPr/>
          </xdr:nvSpPr>
          <xdr:spPr>
            <a:xfrm>
              <a:off x="4194329" y="206249"/>
              <a:ext cx="1915926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 ▪ Ergebnisjustierung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4" name="D Kostenanalyse">
              <a:extLst>
                <a:ext uri="{FF2B5EF4-FFF2-40B4-BE49-F238E27FC236}">
                  <a16:creationId xmlns:a16="http://schemas.microsoft.com/office/drawing/2014/main" id="{00000000-0008-0000-0000-00004A000000}"/>
                </a:ext>
              </a:extLst>
            </xdr:cNvPr>
            <xdr:cNvSpPr/>
          </xdr:nvSpPr>
          <xdr:spPr>
            <a:xfrm>
              <a:off x="5794384" y="206249"/>
              <a:ext cx="1601783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D ▪ Kostenanalyse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5" name="E Projektbeschreibung">
              <a:extLst>
                <a:ext uri="{FF2B5EF4-FFF2-40B4-BE49-F238E27FC236}">
                  <a16:creationId xmlns:a16="http://schemas.microsoft.com/office/drawing/2014/main" id="{00000000-0008-0000-0000-00004B000000}"/>
                </a:ext>
              </a:extLst>
            </xdr:cNvPr>
            <xdr:cNvSpPr/>
          </xdr:nvSpPr>
          <xdr:spPr>
            <a:xfrm>
              <a:off x="7120472" y="206249"/>
              <a:ext cx="2094307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E ▪ Projektbeschreibung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6" name="F Kurzbericht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SpPr/>
          </xdr:nvSpPr>
          <xdr:spPr>
            <a:xfrm>
              <a:off x="8850019" y="206249"/>
              <a:ext cx="1177507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 ▪ Kurzbericht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</xdr:grpSp>
    </xdr:grpSp>
    <xdr:clientData/>
  </xdr:twoCellAnchor>
  <xdr:twoCellAnchor>
    <xdr:from>
      <xdr:col>16</xdr:col>
      <xdr:colOff>195943</xdr:colOff>
      <xdr:row>71</xdr:row>
      <xdr:rowOff>76397</xdr:rowOff>
    </xdr:from>
    <xdr:to>
      <xdr:col>18</xdr:col>
      <xdr:colOff>495300</xdr:colOff>
      <xdr:row>71</xdr:row>
      <xdr:rowOff>323038</xdr:rowOff>
    </xdr:to>
    <xdr:pic>
      <xdr:nvPicPr>
        <xdr:cNvPr id="57" name="LOGO BS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/>
      </xdr:blipFill>
      <xdr:spPr>
        <a:xfrm>
          <a:off x="9625693" y="13354247"/>
          <a:ext cx="1594757" cy="24664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20</xdr:col>
      <xdr:colOff>0</xdr:colOff>
      <xdr:row>67</xdr:row>
      <xdr:rowOff>1451</xdr:rowOff>
    </xdr:to>
    <xdr:sp macro="" textlink="">
      <xdr:nvSpPr>
        <xdr:cNvPr id="27" name="Button Aktualisierung">
          <a:hlinkClick xmlns:r="http://schemas.openxmlformats.org/officeDocument/2006/relationships" r:id="rId11" tooltip="Download-Seite für dieses Planungstool wird im Browser geöffnet.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0077450" y="9944100"/>
          <a:ext cx="1943100" cy="230051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Auf Aktualisierung prüfen</a:t>
          </a:r>
        </a:p>
      </xdr:txBody>
    </xdr:sp>
    <xdr:clientData/>
  </xdr:twoCellAnchor>
  <xdr:twoCellAnchor editAs="oneCell">
    <xdr:from>
      <xdr:col>17</xdr:col>
      <xdr:colOff>0</xdr:colOff>
      <xdr:row>61</xdr:row>
      <xdr:rowOff>0</xdr:rowOff>
    </xdr:from>
    <xdr:to>
      <xdr:col>20</xdr:col>
      <xdr:colOff>0</xdr:colOff>
      <xdr:row>62</xdr:row>
      <xdr:rowOff>865</xdr:rowOff>
    </xdr:to>
    <xdr:sp macro="" textlink="">
      <xdr:nvSpPr>
        <xdr:cNvPr id="31" name="Button Wirkungsrechner">
          <a:hlinkClick xmlns:r="http://schemas.openxmlformats.org/officeDocument/2006/relationships" r:id="rId12" tooltip="Webseite mit dem Online-Wirkungsrechner wird im Browser geöffnet.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0077450" y="9010650"/>
          <a:ext cx="1943100" cy="229465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Wirkungsrechner</a:t>
          </a:r>
        </a:p>
      </xdr:txBody>
    </xdr:sp>
    <xdr:clientData/>
  </xdr:twoCellAnchor>
  <xdr:twoCellAnchor editAs="oneCell">
    <xdr:from>
      <xdr:col>17</xdr:col>
      <xdr:colOff>0</xdr:colOff>
      <xdr:row>21</xdr:row>
      <xdr:rowOff>0</xdr:rowOff>
    </xdr:from>
    <xdr:to>
      <xdr:col>20</xdr:col>
      <xdr:colOff>0</xdr:colOff>
      <xdr:row>22</xdr:row>
      <xdr:rowOff>1451</xdr:rowOff>
    </xdr:to>
    <xdr:sp macro="" textlink="">
      <xdr:nvSpPr>
        <xdr:cNvPr id="34" name="Button Kontakt">
          <a:hlinkClick xmlns:r="http://schemas.openxmlformats.org/officeDocument/2006/relationships" r:id="rId3" tooltip="Kontakt-Seite der Vernetzungsstelle Bike-and-Ride im Land Brandenburg wird im Browser geöffnet.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10077450" y="3771900"/>
          <a:ext cx="1943100" cy="230051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Kontakt zur</a:t>
          </a:r>
          <a:r>
            <a:rPr lang="de-DE" sz="1100" baseline="0">
              <a:solidFill>
                <a:schemeClr val="bg2">
                  <a:lumMod val="75000"/>
                </a:schemeClr>
              </a:solidFill>
              <a:effectLst/>
            </a:rPr>
            <a:t> Vernetzungsstelle</a:t>
          </a:r>
          <a:endParaRPr lang="de-DE" sz="1100">
            <a:solidFill>
              <a:schemeClr val="bg2">
                <a:lumMod val="75000"/>
              </a:schemeClr>
            </a:solidFill>
            <a:effectLst/>
          </a:endParaRPr>
        </a:p>
      </xdr:txBody>
    </xdr:sp>
    <xdr:clientData/>
  </xdr:twoCellAnchor>
  <xdr:twoCellAnchor editAs="oneCell">
    <xdr:from>
      <xdr:col>18</xdr:col>
      <xdr:colOff>112774</xdr:colOff>
      <xdr:row>3</xdr:row>
      <xdr:rowOff>95327</xdr:rowOff>
    </xdr:from>
    <xdr:to>
      <xdr:col>20</xdr:col>
      <xdr:colOff>0</xdr:colOff>
      <xdr:row>5</xdr:row>
      <xdr:rowOff>70182</xdr:rowOff>
    </xdr:to>
    <xdr:pic>
      <xdr:nvPicPr>
        <xdr:cNvPr id="2" name="Logo VBB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20879" y="671840"/>
          <a:ext cx="1180621" cy="451105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6</xdr:row>
      <xdr:rowOff>0</xdr:rowOff>
    </xdr:from>
    <xdr:to>
      <xdr:col>24</xdr:col>
      <xdr:colOff>0</xdr:colOff>
      <xdr:row>10</xdr:row>
      <xdr:rowOff>107518</xdr:rowOff>
    </xdr:to>
    <xdr:sp macro="" textlink="">
      <xdr:nvSpPr>
        <xdr:cNvPr id="50" name="Spacer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12439650" y="1219200"/>
          <a:ext cx="476250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53" name="Spacer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2721</xdr:colOff>
      <xdr:row>0</xdr:row>
      <xdr:rowOff>206249</xdr:rowOff>
    </xdr:from>
    <xdr:to>
      <xdr:col>16</xdr:col>
      <xdr:colOff>597776</xdr:colOff>
      <xdr:row>1</xdr:row>
      <xdr:rowOff>878</xdr:rowOff>
    </xdr:to>
    <xdr:grpSp>
      <xdr:nvGrpSpPr>
        <xdr:cNvPr id="6" name="Navigatio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364671" y="206249"/>
          <a:ext cx="9662855" cy="270879"/>
          <a:chOff x="364671" y="206249"/>
          <a:chExt cx="9662855" cy="270879"/>
        </a:xfrm>
      </xdr:grpSpPr>
      <xdr:sp macro="" textlink="">
        <xdr:nvSpPr>
          <xdr:cNvPr id="65" name="0 Home-Button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66" name="Home-Button-white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342"/>
            <a:ext cx="215823" cy="173755"/>
          </a:xfrm>
          <a:prstGeom prst="rect">
            <a:avLst/>
          </a:prstGeom>
        </xdr:spPr>
      </xdr:pic>
      <xdr:sp macro="" textlink="">
        <xdr:nvSpPr>
          <xdr:cNvPr id="63" name="00 Bestansaufnahme">
            <a:hlinkClick xmlns:r="http://schemas.openxmlformats.org/officeDocument/2006/relationships" r:id="rId14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4" name="123 Bestandsaufnahme">
            <a:hlinkClick xmlns:r="http://schemas.openxmlformats.org/officeDocument/2006/relationships" r:id="rId14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59" name="A Bestandseingabe">
            <a:hlinkClick xmlns:r="http://schemas.openxmlformats.org/officeDocument/2006/relationships" r:id="rId15" tooltip="Klicken, um zu Teil A zu gelangen."/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0" name="B Parametereingabe">
            <a:hlinkClick xmlns:r="http://schemas.openxmlformats.org/officeDocument/2006/relationships" r:id="rId16" tooltip="Klicken, um zu Teil B zu gelangen."/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1" name="C Ergebnisjustierung">
            <a:hlinkClick xmlns:r="http://schemas.openxmlformats.org/officeDocument/2006/relationships" r:id="rId17" tooltip="Klicken, um zu Teil C zu gelangen."/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2" name="D Kostenanalyse">
            <a:hlinkClick xmlns:r="http://schemas.openxmlformats.org/officeDocument/2006/relationships" r:id="rId18" tooltip="Klicken, um zu Teil D zu gelangen."/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54" name="E Projektbeschreibung">
            <a:hlinkClick xmlns:r="http://schemas.openxmlformats.org/officeDocument/2006/relationships" r:id="rId19" tooltip="Klicken, um zu Teil E zu gelangen."/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55" name="F Kurzbericht">
            <a:hlinkClick xmlns:r="http://schemas.openxmlformats.org/officeDocument/2006/relationships" r:id="rId20" tooltip="Klicken, um zu Teil F zu gelangen."/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oneCell">
    <xdr:from>
      <xdr:col>17</xdr:col>
      <xdr:colOff>0</xdr:colOff>
      <xdr:row>15</xdr:row>
      <xdr:rowOff>57150</xdr:rowOff>
    </xdr:from>
    <xdr:to>
      <xdr:col>20</xdr:col>
      <xdr:colOff>0</xdr:colOff>
      <xdr:row>16</xdr:row>
      <xdr:rowOff>58601</xdr:rowOff>
    </xdr:to>
    <xdr:sp macro="" textlink="">
      <xdr:nvSpPr>
        <xdr:cNvPr id="9" name="Button Kontakt">
          <a:hlinkClick xmlns:r="http://schemas.openxmlformats.org/officeDocument/2006/relationships" r:id="rId11" tooltip="Download-Seite des Leitfadens bei der Vernetzungsstelle Bike-and-Ride im Land Brandenburg wird im Browser geöffnet.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0077450" y="3124200"/>
          <a:ext cx="1943100" cy="230051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Download-Seite Leitfaden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107</xdr:row>
      <xdr:rowOff>116966</xdr:rowOff>
    </xdr:from>
    <xdr:to>
      <xdr:col>24</xdr:col>
      <xdr:colOff>0</xdr:colOff>
      <xdr:row>109</xdr:row>
      <xdr:rowOff>0</xdr:rowOff>
    </xdr:to>
    <xdr:grpSp>
      <xdr:nvGrpSpPr>
        <xdr:cNvPr id="2" name="Footer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0" y="30644591"/>
          <a:ext cx="12915900" cy="787909"/>
          <a:chOff x="0" y="57800366"/>
          <a:chExt cx="12915900" cy="787909"/>
        </a:xfrm>
      </xdr:grpSpPr>
      <xdr:sp macro="" textlink="">
        <xdr:nvSpPr>
          <xdr:cNvPr id="3" name="Spacer Footer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4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5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23</xdr:col>
      <xdr:colOff>82037</xdr:colOff>
      <xdr:row>3</xdr:row>
      <xdr:rowOff>170234</xdr:rowOff>
    </xdr:from>
    <xdr:to>
      <xdr:col>24</xdr:col>
      <xdr:colOff>0</xdr:colOff>
      <xdr:row>10</xdr:row>
      <xdr:rowOff>38035</xdr:rowOff>
    </xdr:to>
    <xdr:pic>
      <xdr:nvPicPr>
        <xdr:cNvPr id="18" name="Logo VBB SB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210353" y="1068875"/>
          <a:ext cx="1042416" cy="396240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10</xdr:row>
      <xdr:rowOff>152400</xdr:rowOff>
    </xdr:from>
    <xdr:to>
      <xdr:col>24</xdr:col>
      <xdr:colOff>406</xdr:colOff>
      <xdr:row>14</xdr:row>
      <xdr:rowOff>202768</xdr:rowOff>
    </xdr:to>
    <xdr:sp macro="" textlink="">
      <xdr:nvSpPr>
        <xdr:cNvPr id="13" name="Spacer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2439650" y="1905000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14" name="Spacer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0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22" name="Navigation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23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24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25" name="00 Bestansaufnahme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6" name="123 Bestandsaufnahme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bg1"/>
                </a:solidFill>
              </a:rPr>
              <a:t>123</a:t>
            </a:r>
          </a:p>
        </xdr:txBody>
      </xdr:sp>
      <xdr:sp macro="" textlink="">
        <xdr:nvSpPr>
          <xdr:cNvPr id="27" name="A Bestandseingabe">
            <a:hlinkClick xmlns:r="http://schemas.openxmlformats.org/officeDocument/2006/relationships" r:id="rId8" tooltip="Klicken, um zu Teil A zu gelangen."/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8" name="B Parametereingabe">
            <a:hlinkClick xmlns:r="http://schemas.openxmlformats.org/officeDocument/2006/relationships" r:id="rId9" tooltip="Klicken, um zu Teil B zu gelangen."/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9" name="C Ergebnisjustierung">
            <a:hlinkClick xmlns:r="http://schemas.openxmlformats.org/officeDocument/2006/relationships" r:id="rId10" tooltip="Klicken, um zu Teil C zu gelangen."/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30" name="D Kostenanalyse">
            <a:hlinkClick xmlns:r="http://schemas.openxmlformats.org/officeDocument/2006/relationships" r:id="rId11" tooltip="Klicken, um zu Teil D zu gelangen."/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31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32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130</xdr:row>
      <xdr:rowOff>107441</xdr:rowOff>
    </xdr:from>
    <xdr:to>
      <xdr:col>24</xdr:col>
      <xdr:colOff>0</xdr:colOff>
      <xdr:row>131</xdr:row>
      <xdr:rowOff>323850</xdr:rowOff>
    </xdr:to>
    <xdr:grpSp>
      <xdr:nvGrpSpPr>
        <xdr:cNvPr id="11" name="Footer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pSpPr/>
      </xdr:nvGrpSpPr>
      <xdr:grpSpPr>
        <a:xfrm>
          <a:off x="0" y="26110691"/>
          <a:ext cx="12915900" cy="787909"/>
          <a:chOff x="0" y="57800366"/>
          <a:chExt cx="12915900" cy="787909"/>
        </a:xfrm>
      </xdr:grpSpPr>
      <xdr:sp macro="" textlink="">
        <xdr:nvSpPr>
          <xdr:cNvPr id="12" name="Spacer Footer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27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28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127</xdr:row>
      <xdr:rowOff>0</xdr:rowOff>
    </xdr:from>
    <xdr:to>
      <xdr:col>19</xdr:col>
      <xdr:colOff>0</xdr:colOff>
      <xdr:row>128</xdr:row>
      <xdr:rowOff>0</xdr:rowOff>
    </xdr:to>
    <xdr:sp macro="" textlink="">
      <xdr:nvSpPr>
        <xdr:cNvPr id="9" name="Button nächste Seite">
          <a:hlinkClick xmlns:r="http://schemas.openxmlformats.org/officeDocument/2006/relationships" r:id="rId5" tooltip="Klicken, um zu Teil B zu gelangen.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09650" y="21964650"/>
          <a:ext cx="10363200" cy="30480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0" kern="0" spc="100" baseline="0">
              <a:solidFill>
                <a:schemeClr val="accent3">
                  <a:lumMod val="50000"/>
                </a:schemeClr>
              </a:solidFill>
            </a:rPr>
            <a:t>Eingabe abschließen und weiter zu Teil B – Parametereingabe (Sie können Ihre Eingaben jederzeit ändern).</a:t>
          </a:r>
        </a:p>
      </xdr:txBody>
    </xdr: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9</xdr:row>
      <xdr:rowOff>115451</xdr:rowOff>
    </xdr:to>
    <xdr:pic>
      <xdr:nvPicPr>
        <xdr:cNvPr id="31" name="Logo VBB SB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10</xdr:row>
      <xdr:rowOff>1216</xdr:rowOff>
    </xdr:from>
    <xdr:to>
      <xdr:col>24</xdr:col>
      <xdr:colOff>406</xdr:colOff>
      <xdr:row>14</xdr:row>
      <xdr:rowOff>51584</xdr:rowOff>
    </xdr:to>
    <xdr:sp macro="" textlink="">
      <xdr:nvSpPr>
        <xdr:cNvPr id="32" name="Spacer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6" name="Spacer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0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13" name="Navigation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14" name="0 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5" name="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6" name="00 Bestan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123 Bestand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8" name="A Bestandseingabe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19" name="B Parametereingabe">
            <a:hlinkClick xmlns:r="http://schemas.openxmlformats.org/officeDocument/2006/relationships" r:id="rId5" tooltip="Klicken, um zu Teil B zu gelangen.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0" name="C Ergebnisjustierung">
            <a:hlinkClick xmlns:r="http://schemas.openxmlformats.org/officeDocument/2006/relationships" r:id="rId10" tooltip="Klicken, um zu Teil C zu gelangen.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1" name="D Kostenanalyse">
            <a:hlinkClick xmlns:r="http://schemas.openxmlformats.org/officeDocument/2006/relationships" r:id="rId11" tooltip="Klicken, um zu Teil D zu gelangen.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3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104</xdr:row>
      <xdr:rowOff>107441</xdr:rowOff>
    </xdr:from>
    <xdr:to>
      <xdr:col>24</xdr:col>
      <xdr:colOff>0</xdr:colOff>
      <xdr:row>105</xdr:row>
      <xdr:rowOff>323850</xdr:rowOff>
    </xdr:to>
    <xdr:grpSp>
      <xdr:nvGrpSpPr>
        <xdr:cNvPr id="6" name="Footer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0" y="19319366"/>
          <a:ext cx="12915900" cy="787909"/>
          <a:chOff x="0" y="57800366"/>
          <a:chExt cx="12915900" cy="787909"/>
        </a:xfrm>
      </xdr:grpSpPr>
      <xdr:sp macro="" textlink="">
        <xdr:nvSpPr>
          <xdr:cNvPr id="7" name="Spacer Footer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8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9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101</xdr:row>
      <xdr:rowOff>0</xdr:rowOff>
    </xdr:from>
    <xdr:to>
      <xdr:col>19</xdr:col>
      <xdr:colOff>0</xdr:colOff>
      <xdr:row>102</xdr:row>
      <xdr:rowOff>0</xdr:rowOff>
    </xdr:to>
    <xdr:sp macro="" textlink="">
      <xdr:nvSpPr>
        <xdr:cNvPr id="10" name="Button nächste Seite">
          <a:hlinkClick xmlns:r="http://schemas.openxmlformats.org/officeDocument/2006/relationships" r:id="rId5" tooltip="Klicken, um zu Teil C zu gelangen.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009650" y="7296150"/>
          <a:ext cx="10363200" cy="30480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0" kern="0" spc="100" baseline="0">
              <a:solidFill>
                <a:schemeClr val="accent3">
                  <a:lumMod val="50000"/>
                </a:schemeClr>
              </a:solidFill>
            </a:rPr>
            <a:t>Eingabe abschließen und weiter zu Teil C – Ergebnisjustierung (Sie können Ihre Eingaben jederzeit ändern).</a:t>
          </a:r>
        </a:p>
      </xdr:txBody>
    </xdr: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8</xdr:row>
      <xdr:rowOff>172601</xdr:rowOff>
    </xdr:to>
    <xdr:pic>
      <xdr:nvPicPr>
        <xdr:cNvPr id="11" name="Logo VBB SB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9</xdr:row>
      <xdr:rowOff>58366</xdr:rowOff>
    </xdr:from>
    <xdr:to>
      <xdr:col>24</xdr:col>
      <xdr:colOff>406</xdr:colOff>
      <xdr:row>13</xdr:row>
      <xdr:rowOff>108734</xdr:rowOff>
    </xdr:to>
    <xdr:sp macro="" textlink="">
      <xdr:nvSpPr>
        <xdr:cNvPr id="12" name="Spacer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6" name="Spacer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0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13" name="Navigation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14" name="0 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5" name="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6" name="00 Bestan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123 Bestand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8" name="A Bestandseingabe">
            <a:hlinkClick xmlns:r="http://schemas.openxmlformats.org/officeDocument/2006/relationships" r:id="rId10" tooltip="Klicken, um zu Teil A zu gelangen.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pPr algn="just"/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B Parametereingabe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20" name="C Ergebnisjustierung">
            <a:hlinkClick xmlns:r="http://schemas.openxmlformats.org/officeDocument/2006/relationships" r:id="rId5" tooltip="Klicken, um zu Teil C zu gelangen.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1" name="D Kostenanalyse">
            <a:hlinkClick xmlns:r="http://schemas.openxmlformats.org/officeDocument/2006/relationships" r:id="rId11" tooltip="Klicken, um zu Teil D zu gelangen.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3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178</xdr:row>
      <xdr:rowOff>107441</xdr:rowOff>
    </xdr:from>
    <xdr:to>
      <xdr:col>24</xdr:col>
      <xdr:colOff>0</xdr:colOff>
      <xdr:row>179</xdr:row>
      <xdr:rowOff>323850</xdr:rowOff>
    </xdr:to>
    <xdr:grpSp>
      <xdr:nvGrpSpPr>
        <xdr:cNvPr id="7" name="Footer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0" y="38026466"/>
          <a:ext cx="12915900" cy="787909"/>
          <a:chOff x="0" y="57800366"/>
          <a:chExt cx="12915900" cy="787909"/>
        </a:xfrm>
      </xdr:grpSpPr>
      <xdr:sp macro="" textlink="">
        <xdr:nvSpPr>
          <xdr:cNvPr id="10" name="Spacer Footer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11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12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175</xdr:row>
      <xdr:rowOff>0</xdr:rowOff>
    </xdr:from>
    <xdr:to>
      <xdr:col>19</xdr:col>
      <xdr:colOff>0</xdr:colOff>
      <xdr:row>176</xdr:row>
      <xdr:rowOff>0</xdr:rowOff>
    </xdr:to>
    <xdr:sp macro="" textlink="">
      <xdr:nvSpPr>
        <xdr:cNvPr id="8" name="Button nächste Seite">
          <a:hlinkClick xmlns:r="http://schemas.openxmlformats.org/officeDocument/2006/relationships" r:id="rId5" tooltip="Klicken, um zu Teil D zu gelangen.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009650" y="36947475"/>
          <a:ext cx="10363200" cy="30480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0" kern="0" spc="100" baseline="0">
              <a:solidFill>
                <a:schemeClr val="accent3">
                  <a:lumMod val="50000"/>
                </a:schemeClr>
              </a:solidFill>
            </a:rPr>
            <a:t>Eingabe abschließen und weiter zu Teil D – Kostenanalyse (Sie können Ihre Eingaben jederzeit ändern).</a:t>
          </a:r>
        </a:p>
      </xdr:txBody>
    </xdr:sp>
    <xdr:clientData/>
  </xdr:twoCellAnchor>
  <xdr:twoCellAnchor>
    <xdr:from>
      <xdr:col>8</xdr:col>
      <xdr:colOff>0</xdr:colOff>
      <xdr:row>162</xdr:row>
      <xdr:rowOff>265696</xdr:rowOff>
    </xdr:from>
    <xdr:to>
      <xdr:col>8</xdr:col>
      <xdr:colOff>200525</xdr:colOff>
      <xdr:row>166</xdr:row>
      <xdr:rowOff>265696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4241132" y="33016657"/>
          <a:ext cx="200525" cy="1062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72000" rIns="0" bIns="0" rtlCol="0" anchor="t"/>
        <a:lstStyle/>
        <a:p>
          <a:r>
            <a:rPr lang="de-DE" sz="1000" i="0">
              <a:solidFill>
                <a:schemeClr val="bg2">
                  <a:lumMod val="75000"/>
                </a:schemeClr>
              </a:solidFill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  <a:endParaRPr lang="de-DE" sz="1000" i="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>
    <xdr:from>
      <xdr:col>18</xdr:col>
      <xdr:colOff>1</xdr:colOff>
      <xdr:row>162</xdr:row>
      <xdr:rowOff>267889</xdr:rowOff>
    </xdr:from>
    <xdr:to>
      <xdr:col>18</xdr:col>
      <xdr:colOff>173935</xdr:colOff>
      <xdr:row>166</xdr:row>
      <xdr:rowOff>267890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0745392" y="32682655"/>
          <a:ext cx="173934" cy="10715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72000" rIns="0" bIns="0" rtlCol="0" anchor="t"/>
        <a:lstStyle/>
        <a:p>
          <a:r>
            <a:rPr lang="de-DE" sz="1000" i="0">
              <a:solidFill>
                <a:schemeClr val="bg2">
                  <a:lumMod val="75000"/>
                </a:schemeClr>
              </a:solidFill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  <a:endParaRPr lang="de-DE" sz="1000" i="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8</xdr:row>
      <xdr:rowOff>115451</xdr:rowOff>
    </xdr:to>
    <xdr:pic>
      <xdr:nvPicPr>
        <xdr:cNvPr id="13" name="Logo VBB SB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9</xdr:row>
      <xdr:rowOff>1216</xdr:rowOff>
    </xdr:from>
    <xdr:to>
      <xdr:col>24</xdr:col>
      <xdr:colOff>406</xdr:colOff>
      <xdr:row>12</xdr:row>
      <xdr:rowOff>51584</xdr:rowOff>
    </xdr:to>
    <xdr:sp macro="" textlink="">
      <xdr:nvSpPr>
        <xdr:cNvPr id="14" name="Spacer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8" name="Spacer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715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15" name="Navigation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pSpPr/>
      </xdr:nvGrpSpPr>
      <xdr:grpSpPr>
        <a:xfrm>
          <a:off x="362665" y="205371"/>
          <a:ext cx="9662140" cy="270879"/>
          <a:chOff x="364671" y="206249"/>
          <a:chExt cx="9662855" cy="270879"/>
        </a:xfrm>
      </xdr:grpSpPr>
      <xdr:sp macro="" textlink="">
        <xdr:nvSpPr>
          <xdr:cNvPr id="16" name="0 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7" name="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8" name="00 Bestan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123 Bestand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20" name="A Bestandseingabe">
            <a:hlinkClick xmlns:r="http://schemas.openxmlformats.org/officeDocument/2006/relationships" r:id="rId10" tooltip="Klicken, um zu Teil A zu gelangen."/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pPr algn="just"/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1" name="B Parametereingabe">
            <a:hlinkClick xmlns:r="http://schemas.openxmlformats.org/officeDocument/2006/relationships" r:id="rId11" tooltip="Klicken, um zu Teil B zu gelangen."/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C Ergebnisjustierung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23" name="D Kostenanalyse">
            <a:hlinkClick xmlns:r="http://schemas.openxmlformats.org/officeDocument/2006/relationships" r:id="rId5" tooltip="Klicken, um zu Teil D zu gelangen."/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4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5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194</xdr:row>
      <xdr:rowOff>107441</xdr:rowOff>
    </xdr:from>
    <xdr:to>
      <xdr:col>24</xdr:col>
      <xdr:colOff>0</xdr:colOff>
      <xdr:row>195</xdr:row>
      <xdr:rowOff>323850</xdr:rowOff>
    </xdr:to>
    <xdr:grpSp>
      <xdr:nvGrpSpPr>
        <xdr:cNvPr id="7" name="Footer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0" y="43455716"/>
          <a:ext cx="12915900" cy="787909"/>
          <a:chOff x="0" y="57800366"/>
          <a:chExt cx="12915900" cy="787909"/>
        </a:xfrm>
      </xdr:grpSpPr>
      <xdr:sp macro="" textlink="">
        <xdr:nvSpPr>
          <xdr:cNvPr id="8" name="Spacer Footer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11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26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295280</xdr:colOff>
      <xdr:row>47</xdr:row>
      <xdr:rowOff>0</xdr:rowOff>
    </xdr:from>
    <xdr:to>
      <xdr:col>4</xdr:col>
      <xdr:colOff>243238</xdr:colOff>
      <xdr:row>50</xdr:row>
      <xdr:rowOff>178011</xdr:rowOff>
    </xdr:to>
    <xdr:grpSp>
      <xdr:nvGrpSpPr>
        <xdr:cNvPr id="3" name="Pfeil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1304930" y="9725025"/>
          <a:ext cx="595658" cy="920961"/>
          <a:chOff x="1304930" y="5086350"/>
          <a:chExt cx="595658" cy="920961"/>
        </a:xfrm>
      </xdr:grpSpPr>
      <xdr:sp macro="" textlink="">
        <xdr:nvSpPr>
          <xdr:cNvPr id="4" name="Arrow: Bent-Up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 rot="5400000">
            <a:off x="1303145" y="5088135"/>
            <a:ext cx="177401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9" name="Arrow: Bent-Up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>
          <a:xfrm rot="5400000">
            <a:off x="1724971" y="5831695"/>
            <a:ext cx="177401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0" name="Arrow: Bent-Up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SpPr/>
        </xdr:nvSpPr>
        <xdr:spPr>
          <a:xfrm rot="5400000">
            <a:off x="1105628" y="5390931"/>
            <a:ext cx="572436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" name="Arrow: Bent-Up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/>
        </xdr:nvSpPr>
        <xdr:spPr>
          <a:xfrm rot="5400000">
            <a:off x="1303145" y="5340116"/>
            <a:ext cx="177401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9</xdr:row>
      <xdr:rowOff>77351</xdr:rowOff>
    </xdr:to>
    <xdr:pic>
      <xdr:nvPicPr>
        <xdr:cNvPr id="27" name="Logo VBB SB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3091</xdr:colOff>
      <xdr:row>9</xdr:row>
      <xdr:rowOff>191716</xdr:rowOff>
    </xdr:from>
    <xdr:to>
      <xdr:col>24</xdr:col>
      <xdr:colOff>406</xdr:colOff>
      <xdr:row>14</xdr:row>
      <xdr:rowOff>13484</xdr:rowOff>
    </xdr:to>
    <xdr:sp macro="" textlink="">
      <xdr:nvSpPr>
        <xdr:cNvPr id="28" name="Spacer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5" name="Spacer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715</xdr:colOff>
      <xdr:row>0</xdr:row>
      <xdr:rowOff>205371</xdr:rowOff>
    </xdr:from>
    <xdr:to>
      <xdr:col>16</xdr:col>
      <xdr:colOff>595055</xdr:colOff>
      <xdr:row>1</xdr:row>
      <xdr:rowOff>3284</xdr:rowOff>
    </xdr:to>
    <xdr:grpSp>
      <xdr:nvGrpSpPr>
        <xdr:cNvPr id="12" name="Navigation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362665" y="205371"/>
          <a:ext cx="9662140" cy="274163"/>
          <a:chOff x="364671" y="206249"/>
          <a:chExt cx="9662855" cy="270879"/>
        </a:xfrm>
      </xdr:grpSpPr>
      <xdr:sp macro="" textlink="">
        <xdr:nvSpPr>
          <xdr:cNvPr id="13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4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5" name="00 Bestan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6" name="123 Bestand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7" name="A Bestandseingabe">
            <a:hlinkClick xmlns:r="http://schemas.openxmlformats.org/officeDocument/2006/relationships" r:id="rId9" tooltip="Klicken, um zu Teil A zu gelangen."/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pPr algn="just"/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8" name="B Parametereingabe">
            <a:hlinkClick xmlns:r="http://schemas.openxmlformats.org/officeDocument/2006/relationships" r:id="rId10" tooltip="Klicken, um zu Teil B zu gelangen."/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C Ergebnisjustierung">
            <a:hlinkClick xmlns:r="http://schemas.openxmlformats.org/officeDocument/2006/relationships" r:id="rId11" tooltip="Klicken, um zu Teil C zu gelangen."/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0" name="D Kostenanalyse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21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>
    <xdr:from>
      <xdr:col>16</xdr:col>
      <xdr:colOff>322920</xdr:colOff>
      <xdr:row>97</xdr:row>
      <xdr:rowOff>1</xdr:rowOff>
    </xdr:from>
    <xdr:to>
      <xdr:col>17</xdr:col>
      <xdr:colOff>322920</xdr:colOff>
      <xdr:row>98</xdr:row>
      <xdr:rowOff>90143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>
        <a:xfrm>
          <a:off x="9752670" y="21097876"/>
          <a:ext cx="647700" cy="318742"/>
        </a:xfrm>
        <a:prstGeom prst="downArrow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93</xdr:row>
      <xdr:rowOff>107441</xdr:rowOff>
    </xdr:from>
    <xdr:to>
      <xdr:col>24</xdr:col>
      <xdr:colOff>0</xdr:colOff>
      <xdr:row>94</xdr:row>
      <xdr:rowOff>323850</xdr:rowOff>
    </xdr:to>
    <xdr:grpSp>
      <xdr:nvGrpSpPr>
        <xdr:cNvPr id="2" name="Footer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0" y="20367116"/>
          <a:ext cx="12915900" cy="787909"/>
          <a:chOff x="0" y="57800366"/>
          <a:chExt cx="12915900" cy="787909"/>
        </a:xfrm>
      </xdr:grpSpPr>
      <xdr:sp macro="" textlink="">
        <xdr:nvSpPr>
          <xdr:cNvPr id="3" name="Spacer Footer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4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5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9</xdr:row>
      <xdr:rowOff>115451</xdr:rowOff>
    </xdr:to>
    <xdr:pic>
      <xdr:nvPicPr>
        <xdr:cNvPr id="22" name="Logo VBB SB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10</xdr:row>
      <xdr:rowOff>1216</xdr:rowOff>
    </xdr:from>
    <xdr:to>
      <xdr:col>24</xdr:col>
      <xdr:colOff>406</xdr:colOff>
      <xdr:row>13</xdr:row>
      <xdr:rowOff>184934</xdr:rowOff>
    </xdr:to>
    <xdr:sp macro="" textlink="">
      <xdr:nvSpPr>
        <xdr:cNvPr id="23" name="Spacer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8" name="Spacer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359</xdr:colOff>
      <xdr:row>0</xdr:row>
      <xdr:rowOff>205371</xdr:rowOff>
    </xdr:from>
    <xdr:to>
      <xdr:col>16</xdr:col>
      <xdr:colOff>595055</xdr:colOff>
      <xdr:row>1</xdr:row>
      <xdr:rowOff>563</xdr:rowOff>
    </xdr:to>
    <xdr:grpSp>
      <xdr:nvGrpSpPr>
        <xdr:cNvPr id="9" name="Navigation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pSpPr/>
      </xdr:nvGrpSpPr>
      <xdr:grpSpPr>
        <a:xfrm>
          <a:off x="362309" y="205371"/>
          <a:ext cx="9662496" cy="271442"/>
          <a:chOff x="364671" y="206249"/>
          <a:chExt cx="9662855" cy="270879"/>
        </a:xfrm>
      </xdr:grpSpPr>
      <xdr:sp macro="" textlink="">
        <xdr:nvSpPr>
          <xdr:cNvPr id="10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1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1" y="263342"/>
            <a:ext cx="215821" cy="173755"/>
          </a:xfrm>
          <a:prstGeom prst="rect">
            <a:avLst/>
          </a:prstGeom>
        </xdr:spPr>
      </xdr:pic>
      <xdr:sp macro="" textlink="">
        <xdr:nvSpPr>
          <xdr:cNvPr id="12" name="00 Bestan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3" name="123 Bestand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4" name="A Bestandseingabe">
            <a:hlinkClick xmlns:r="http://schemas.openxmlformats.org/officeDocument/2006/relationships" r:id="rId9" tooltip="Klicken, um zu Teil A zu gelangen."/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5" name="B Parametereingabe">
            <a:hlinkClick xmlns:r="http://schemas.openxmlformats.org/officeDocument/2006/relationships" r:id="rId10" tooltip="Klicken, um zu Teil B zu gelangen.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6" name="C Ergebnisjustierung">
            <a:hlinkClick xmlns:r="http://schemas.openxmlformats.org/officeDocument/2006/relationships" r:id="rId11" tooltip="Klicken, um zu Teil C zu gelangen.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D Kostenanalyse">
            <a:hlinkClick xmlns:r="http://schemas.openxmlformats.org/officeDocument/2006/relationships" r:id="rId12" tooltip="Klicken, um zu Teil D zu gelangen.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8" name="E Projektbeschreibung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19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21</xdr:row>
          <xdr:rowOff>0</xdr:rowOff>
        </xdr:from>
        <xdr:to>
          <xdr:col>9</xdr:col>
          <xdr:colOff>619125</xdr:colOff>
          <xdr:row>22</xdr:row>
          <xdr:rowOff>0</xdr:rowOff>
        </xdr:to>
        <xdr:sp macro="" textlink="">
          <xdr:nvSpPr>
            <xdr:cNvPr id="7232" name="Check Box 64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6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21</xdr:row>
          <xdr:rowOff>247650</xdr:rowOff>
        </xdr:from>
        <xdr:to>
          <xdr:col>9</xdr:col>
          <xdr:colOff>619125</xdr:colOff>
          <xdr:row>24</xdr:row>
          <xdr:rowOff>0</xdr:rowOff>
        </xdr:to>
        <xdr:sp macro="" textlink="">
          <xdr:nvSpPr>
            <xdr:cNvPr id="7233" name="Check Box 65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6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25</xdr:row>
          <xdr:rowOff>0</xdr:rowOff>
        </xdr:from>
        <xdr:to>
          <xdr:col>9</xdr:col>
          <xdr:colOff>619125</xdr:colOff>
          <xdr:row>26</xdr:row>
          <xdr:rowOff>0</xdr:rowOff>
        </xdr:to>
        <xdr:sp macro="" textlink="">
          <xdr:nvSpPr>
            <xdr:cNvPr id="7234" name="Check Box 66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6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30</xdr:row>
          <xdr:rowOff>0</xdr:rowOff>
        </xdr:from>
        <xdr:to>
          <xdr:col>9</xdr:col>
          <xdr:colOff>619125</xdr:colOff>
          <xdr:row>31</xdr:row>
          <xdr:rowOff>0</xdr:rowOff>
        </xdr:to>
        <xdr:sp macro="" textlink="">
          <xdr:nvSpPr>
            <xdr:cNvPr id="7235" name="Check Box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6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37</xdr:row>
          <xdr:rowOff>0</xdr:rowOff>
        </xdr:from>
        <xdr:to>
          <xdr:col>9</xdr:col>
          <xdr:colOff>619125</xdr:colOff>
          <xdr:row>38</xdr:row>
          <xdr:rowOff>0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6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49</xdr:row>
          <xdr:rowOff>0</xdr:rowOff>
        </xdr:from>
        <xdr:to>
          <xdr:col>9</xdr:col>
          <xdr:colOff>619125</xdr:colOff>
          <xdr:row>50</xdr:row>
          <xdr:rowOff>0</xdr:rowOff>
        </xdr:to>
        <xdr:sp macro="" textlink="">
          <xdr:nvSpPr>
            <xdr:cNvPr id="7237" name="Check Box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6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53</xdr:row>
          <xdr:rowOff>0</xdr:rowOff>
        </xdr:from>
        <xdr:to>
          <xdr:col>9</xdr:col>
          <xdr:colOff>619125</xdr:colOff>
          <xdr:row>54</xdr:row>
          <xdr:rowOff>0</xdr:rowOff>
        </xdr:to>
        <xdr:sp macro="" textlink="">
          <xdr:nvSpPr>
            <xdr:cNvPr id="7238" name="Check Box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6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54</xdr:row>
          <xdr:rowOff>0</xdr:rowOff>
        </xdr:from>
        <xdr:to>
          <xdr:col>9</xdr:col>
          <xdr:colOff>619125</xdr:colOff>
          <xdr:row>55</xdr:row>
          <xdr:rowOff>0</xdr:rowOff>
        </xdr:to>
        <xdr:sp macro="" textlink="">
          <xdr:nvSpPr>
            <xdr:cNvPr id="7239" name="Check Box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6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55</xdr:row>
          <xdr:rowOff>0</xdr:rowOff>
        </xdr:from>
        <xdr:to>
          <xdr:col>9</xdr:col>
          <xdr:colOff>619125</xdr:colOff>
          <xdr:row>56</xdr:row>
          <xdr:rowOff>0</xdr:rowOff>
        </xdr:to>
        <xdr:sp macro="" textlink="">
          <xdr:nvSpPr>
            <xdr:cNvPr id="7240" name="Check Box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6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56</xdr:row>
          <xdr:rowOff>0</xdr:rowOff>
        </xdr:from>
        <xdr:to>
          <xdr:col>9</xdr:col>
          <xdr:colOff>619125</xdr:colOff>
          <xdr:row>57</xdr:row>
          <xdr:rowOff>0</xdr:rowOff>
        </xdr:to>
        <xdr:sp macro="" textlink="">
          <xdr:nvSpPr>
            <xdr:cNvPr id="7241" name="Check Box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6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57</xdr:row>
          <xdr:rowOff>0</xdr:rowOff>
        </xdr:from>
        <xdr:to>
          <xdr:col>9</xdr:col>
          <xdr:colOff>619125</xdr:colOff>
          <xdr:row>58</xdr:row>
          <xdr:rowOff>0</xdr:rowOff>
        </xdr:to>
        <xdr:sp macro="" textlink="">
          <xdr:nvSpPr>
            <xdr:cNvPr id="7242" name="Check Box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6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58</xdr:row>
          <xdr:rowOff>0</xdr:rowOff>
        </xdr:from>
        <xdr:to>
          <xdr:col>9</xdr:col>
          <xdr:colOff>619125</xdr:colOff>
          <xdr:row>59</xdr:row>
          <xdr:rowOff>0</xdr:rowOff>
        </xdr:to>
        <xdr:sp macro="" textlink="">
          <xdr:nvSpPr>
            <xdr:cNvPr id="7243" name="Check Box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6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59</xdr:row>
          <xdr:rowOff>0</xdr:rowOff>
        </xdr:from>
        <xdr:to>
          <xdr:col>9</xdr:col>
          <xdr:colOff>619125</xdr:colOff>
          <xdr:row>60</xdr:row>
          <xdr:rowOff>0</xdr:rowOff>
        </xdr:to>
        <xdr:sp macro="" textlink="">
          <xdr:nvSpPr>
            <xdr:cNvPr id="7244" name="Check Box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6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60</xdr:row>
          <xdr:rowOff>0</xdr:rowOff>
        </xdr:from>
        <xdr:to>
          <xdr:col>9</xdr:col>
          <xdr:colOff>619125</xdr:colOff>
          <xdr:row>61</xdr:row>
          <xdr:rowOff>0</xdr:rowOff>
        </xdr:to>
        <xdr:sp macro="" textlink="">
          <xdr:nvSpPr>
            <xdr:cNvPr id="7245" name="Check Box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6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19</xdr:row>
          <xdr:rowOff>0</xdr:rowOff>
        </xdr:from>
        <xdr:to>
          <xdr:col>10</xdr:col>
          <xdr:colOff>428625</xdr:colOff>
          <xdr:row>20</xdr:row>
          <xdr:rowOff>0</xdr:rowOff>
        </xdr:to>
        <xdr:sp macro="" textlink="">
          <xdr:nvSpPr>
            <xdr:cNvPr id="7246" name="Check Box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6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19</xdr:row>
          <xdr:rowOff>0</xdr:rowOff>
        </xdr:from>
        <xdr:to>
          <xdr:col>11</xdr:col>
          <xdr:colOff>428625</xdr:colOff>
          <xdr:row>20</xdr:row>
          <xdr:rowOff>0</xdr:rowOff>
        </xdr:to>
        <xdr:sp macro="" textlink="">
          <xdr:nvSpPr>
            <xdr:cNvPr id="7247" name="Check Box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6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19</xdr:row>
          <xdr:rowOff>0</xdr:rowOff>
        </xdr:from>
        <xdr:to>
          <xdr:col>12</xdr:col>
          <xdr:colOff>428625</xdr:colOff>
          <xdr:row>20</xdr:row>
          <xdr:rowOff>0</xdr:rowOff>
        </xdr:to>
        <xdr:sp macro="" textlink="">
          <xdr:nvSpPr>
            <xdr:cNvPr id="7248" name="Check Box 80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6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20</xdr:row>
          <xdr:rowOff>0</xdr:rowOff>
        </xdr:from>
        <xdr:to>
          <xdr:col>12</xdr:col>
          <xdr:colOff>428625</xdr:colOff>
          <xdr:row>21</xdr:row>
          <xdr:rowOff>0</xdr:rowOff>
        </xdr:to>
        <xdr:sp macro="" textlink="">
          <xdr:nvSpPr>
            <xdr:cNvPr id="7249" name="Check Box 81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6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20</xdr:row>
          <xdr:rowOff>0</xdr:rowOff>
        </xdr:from>
        <xdr:to>
          <xdr:col>11</xdr:col>
          <xdr:colOff>428625</xdr:colOff>
          <xdr:row>21</xdr:row>
          <xdr:rowOff>0</xdr:rowOff>
        </xdr:to>
        <xdr:sp macro="" textlink="">
          <xdr:nvSpPr>
            <xdr:cNvPr id="7250" name="Check Box 82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6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20</xdr:row>
          <xdr:rowOff>0</xdr:rowOff>
        </xdr:from>
        <xdr:to>
          <xdr:col>10</xdr:col>
          <xdr:colOff>428625</xdr:colOff>
          <xdr:row>21</xdr:row>
          <xdr:rowOff>0</xdr:rowOff>
        </xdr:to>
        <xdr:sp macro="" textlink="">
          <xdr:nvSpPr>
            <xdr:cNvPr id="7251" name="Check Box 83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6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29</xdr:row>
          <xdr:rowOff>0</xdr:rowOff>
        </xdr:from>
        <xdr:to>
          <xdr:col>10</xdr:col>
          <xdr:colOff>428625</xdr:colOff>
          <xdr:row>30</xdr:row>
          <xdr:rowOff>0</xdr:rowOff>
        </xdr:to>
        <xdr:sp macro="" textlink="">
          <xdr:nvSpPr>
            <xdr:cNvPr id="7252" name="Check Box 84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6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29</xdr:row>
          <xdr:rowOff>0</xdr:rowOff>
        </xdr:from>
        <xdr:to>
          <xdr:col>11</xdr:col>
          <xdr:colOff>428625</xdr:colOff>
          <xdr:row>30</xdr:row>
          <xdr:rowOff>0</xdr:rowOff>
        </xdr:to>
        <xdr:sp macro="" textlink="">
          <xdr:nvSpPr>
            <xdr:cNvPr id="7253" name="Check Box 85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6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29</xdr:row>
          <xdr:rowOff>0</xdr:rowOff>
        </xdr:from>
        <xdr:to>
          <xdr:col>12</xdr:col>
          <xdr:colOff>428625</xdr:colOff>
          <xdr:row>30</xdr:row>
          <xdr:rowOff>0</xdr:rowOff>
        </xdr:to>
        <xdr:sp macro="" textlink="">
          <xdr:nvSpPr>
            <xdr:cNvPr id="7254" name="Check Box 86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6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35</xdr:row>
          <xdr:rowOff>0</xdr:rowOff>
        </xdr:from>
        <xdr:to>
          <xdr:col>10</xdr:col>
          <xdr:colOff>428625</xdr:colOff>
          <xdr:row>36</xdr:row>
          <xdr:rowOff>0</xdr:rowOff>
        </xdr:to>
        <xdr:sp macro="" textlink="">
          <xdr:nvSpPr>
            <xdr:cNvPr id="7255" name="Check Box 87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6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36</xdr:row>
          <xdr:rowOff>0</xdr:rowOff>
        </xdr:from>
        <xdr:to>
          <xdr:col>10</xdr:col>
          <xdr:colOff>428625</xdr:colOff>
          <xdr:row>37</xdr:row>
          <xdr:rowOff>0</xdr:rowOff>
        </xdr:to>
        <xdr:sp macro="" textlink="">
          <xdr:nvSpPr>
            <xdr:cNvPr id="7256" name="Check Box 88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6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35</xdr:row>
          <xdr:rowOff>0</xdr:rowOff>
        </xdr:from>
        <xdr:to>
          <xdr:col>11</xdr:col>
          <xdr:colOff>428625</xdr:colOff>
          <xdr:row>36</xdr:row>
          <xdr:rowOff>0</xdr:rowOff>
        </xdr:to>
        <xdr:sp macro="" textlink="">
          <xdr:nvSpPr>
            <xdr:cNvPr id="7257" name="Check Box 89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6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36</xdr:row>
          <xdr:rowOff>0</xdr:rowOff>
        </xdr:from>
        <xdr:to>
          <xdr:col>11</xdr:col>
          <xdr:colOff>428625</xdr:colOff>
          <xdr:row>37</xdr:row>
          <xdr:rowOff>0</xdr:rowOff>
        </xdr:to>
        <xdr:sp macro="" textlink="">
          <xdr:nvSpPr>
            <xdr:cNvPr id="7258" name="Check Box 90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6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35</xdr:row>
          <xdr:rowOff>0</xdr:rowOff>
        </xdr:from>
        <xdr:to>
          <xdr:col>12</xdr:col>
          <xdr:colOff>428625</xdr:colOff>
          <xdr:row>36</xdr:row>
          <xdr:rowOff>0</xdr:rowOff>
        </xdr:to>
        <xdr:sp macro="" textlink="">
          <xdr:nvSpPr>
            <xdr:cNvPr id="7259" name="Check Box 91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6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36</xdr:row>
          <xdr:rowOff>0</xdr:rowOff>
        </xdr:from>
        <xdr:to>
          <xdr:col>12</xdr:col>
          <xdr:colOff>428625</xdr:colOff>
          <xdr:row>37</xdr:row>
          <xdr:rowOff>0</xdr:rowOff>
        </xdr:to>
        <xdr:sp macro="" textlink="">
          <xdr:nvSpPr>
            <xdr:cNvPr id="7260" name="Check Box 92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6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41</xdr:row>
          <xdr:rowOff>0</xdr:rowOff>
        </xdr:from>
        <xdr:to>
          <xdr:col>10</xdr:col>
          <xdr:colOff>428625</xdr:colOff>
          <xdr:row>42</xdr:row>
          <xdr:rowOff>0</xdr:rowOff>
        </xdr:to>
        <xdr:sp macro="" textlink="">
          <xdr:nvSpPr>
            <xdr:cNvPr id="7261" name="Check Box 93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6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42</xdr:row>
          <xdr:rowOff>0</xdr:rowOff>
        </xdr:from>
        <xdr:to>
          <xdr:col>10</xdr:col>
          <xdr:colOff>428625</xdr:colOff>
          <xdr:row>43</xdr:row>
          <xdr:rowOff>0</xdr:rowOff>
        </xdr:to>
        <xdr:sp macro="" textlink="">
          <xdr:nvSpPr>
            <xdr:cNvPr id="7262" name="Check Box 94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6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43</xdr:row>
          <xdr:rowOff>0</xdr:rowOff>
        </xdr:from>
        <xdr:to>
          <xdr:col>10</xdr:col>
          <xdr:colOff>428625</xdr:colOff>
          <xdr:row>44</xdr:row>
          <xdr:rowOff>0</xdr:rowOff>
        </xdr:to>
        <xdr:sp macro="" textlink="">
          <xdr:nvSpPr>
            <xdr:cNvPr id="7263" name="Check Box 95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6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44</xdr:row>
          <xdr:rowOff>0</xdr:rowOff>
        </xdr:from>
        <xdr:to>
          <xdr:col>10</xdr:col>
          <xdr:colOff>428625</xdr:colOff>
          <xdr:row>45</xdr:row>
          <xdr:rowOff>0</xdr:rowOff>
        </xdr:to>
        <xdr:sp macro="" textlink="">
          <xdr:nvSpPr>
            <xdr:cNvPr id="7264" name="Check Box 96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6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41</xdr:row>
          <xdr:rowOff>0</xdr:rowOff>
        </xdr:from>
        <xdr:to>
          <xdr:col>11</xdr:col>
          <xdr:colOff>428625</xdr:colOff>
          <xdr:row>42</xdr:row>
          <xdr:rowOff>0</xdr:rowOff>
        </xdr:to>
        <xdr:sp macro="" textlink="">
          <xdr:nvSpPr>
            <xdr:cNvPr id="7265" name="Check Box 97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6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42</xdr:row>
          <xdr:rowOff>0</xdr:rowOff>
        </xdr:from>
        <xdr:to>
          <xdr:col>11</xdr:col>
          <xdr:colOff>428625</xdr:colOff>
          <xdr:row>43</xdr:row>
          <xdr:rowOff>0</xdr:rowOff>
        </xdr:to>
        <xdr:sp macro="" textlink="">
          <xdr:nvSpPr>
            <xdr:cNvPr id="7266" name="Check Box 98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6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43</xdr:row>
          <xdr:rowOff>0</xdr:rowOff>
        </xdr:from>
        <xdr:to>
          <xdr:col>11</xdr:col>
          <xdr:colOff>428625</xdr:colOff>
          <xdr:row>44</xdr:row>
          <xdr:rowOff>0</xdr:rowOff>
        </xdr:to>
        <xdr:sp macro="" textlink="">
          <xdr:nvSpPr>
            <xdr:cNvPr id="7267" name="Check Box 99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6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44</xdr:row>
          <xdr:rowOff>0</xdr:rowOff>
        </xdr:from>
        <xdr:to>
          <xdr:col>11</xdr:col>
          <xdr:colOff>428625</xdr:colOff>
          <xdr:row>45</xdr:row>
          <xdr:rowOff>0</xdr:rowOff>
        </xdr:to>
        <xdr:sp macro="" textlink="">
          <xdr:nvSpPr>
            <xdr:cNvPr id="7268" name="Check Box 100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6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41</xdr:row>
          <xdr:rowOff>0</xdr:rowOff>
        </xdr:from>
        <xdr:to>
          <xdr:col>12</xdr:col>
          <xdr:colOff>428625</xdr:colOff>
          <xdr:row>42</xdr:row>
          <xdr:rowOff>0</xdr:rowOff>
        </xdr:to>
        <xdr:sp macro="" textlink="">
          <xdr:nvSpPr>
            <xdr:cNvPr id="7269" name="Check Box 101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6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42</xdr:row>
          <xdr:rowOff>0</xdr:rowOff>
        </xdr:from>
        <xdr:to>
          <xdr:col>12</xdr:col>
          <xdr:colOff>428625</xdr:colOff>
          <xdr:row>43</xdr:row>
          <xdr:rowOff>0</xdr:rowOff>
        </xdr:to>
        <xdr:sp macro="" textlink="">
          <xdr:nvSpPr>
            <xdr:cNvPr id="7270" name="Check Box 102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6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43</xdr:row>
          <xdr:rowOff>0</xdr:rowOff>
        </xdr:from>
        <xdr:to>
          <xdr:col>12</xdr:col>
          <xdr:colOff>428625</xdr:colOff>
          <xdr:row>44</xdr:row>
          <xdr:rowOff>0</xdr:rowOff>
        </xdr:to>
        <xdr:sp macro="" textlink="">
          <xdr:nvSpPr>
            <xdr:cNvPr id="7271" name="Check Box 103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6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44</xdr:row>
          <xdr:rowOff>0</xdr:rowOff>
        </xdr:from>
        <xdr:to>
          <xdr:col>12</xdr:col>
          <xdr:colOff>428625</xdr:colOff>
          <xdr:row>45</xdr:row>
          <xdr:rowOff>0</xdr:rowOff>
        </xdr:to>
        <xdr:sp macro="" textlink="">
          <xdr:nvSpPr>
            <xdr:cNvPr id="7272" name="Check Box 104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6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64</xdr:row>
          <xdr:rowOff>0</xdr:rowOff>
        </xdr:from>
        <xdr:to>
          <xdr:col>9</xdr:col>
          <xdr:colOff>619125</xdr:colOff>
          <xdr:row>65</xdr:row>
          <xdr:rowOff>0</xdr:rowOff>
        </xdr:to>
        <xdr:sp macro="" textlink="">
          <xdr:nvSpPr>
            <xdr:cNvPr id="7273" name="Check Box 105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6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64</xdr:row>
          <xdr:rowOff>247650</xdr:rowOff>
        </xdr:from>
        <xdr:to>
          <xdr:col>9</xdr:col>
          <xdr:colOff>619125</xdr:colOff>
          <xdr:row>67</xdr:row>
          <xdr:rowOff>0</xdr:rowOff>
        </xdr:to>
        <xdr:sp macro="" textlink="">
          <xdr:nvSpPr>
            <xdr:cNvPr id="7275" name="Check Box 107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6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77</xdr:row>
          <xdr:rowOff>0</xdr:rowOff>
        </xdr:from>
        <xdr:to>
          <xdr:col>11</xdr:col>
          <xdr:colOff>619125</xdr:colOff>
          <xdr:row>78</xdr:row>
          <xdr:rowOff>0</xdr:rowOff>
        </xdr:to>
        <xdr:sp macro="" textlink="">
          <xdr:nvSpPr>
            <xdr:cNvPr id="7276" name="Check Box 108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6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78</xdr:row>
          <xdr:rowOff>0</xdr:rowOff>
        </xdr:from>
        <xdr:to>
          <xdr:col>11</xdr:col>
          <xdr:colOff>619125</xdr:colOff>
          <xdr:row>79</xdr:row>
          <xdr:rowOff>0</xdr:rowOff>
        </xdr:to>
        <xdr:sp macro="" textlink="">
          <xdr:nvSpPr>
            <xdr:cNvPr id="7277" name="Check Box 109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6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79</xdr:row>
          <xdr:rowOff>0</xdr:rowOff>
        </xdr:from>
        <xdr:to>
          <xdr:col>11</xdr:col>
          <xdr:colOff>619125</xdr:colOff>
          <xdr:row>80</xdr:row>
          <xdr:rowOff>0</xdr:rowOff>
        </xdr:to>
        <xdr:sp macro="" textlink="">
          <xdr:nvSpPr>
            <xdr:cNvPr id="7278" name="Check Box 110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6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77</xdr:row>
          <xdr:rowOff>0</xdr:rowOff>
        </xdr:from>
        <xdr:to>
          <xdr:col>14</xdr:col>
          <xdr:colOff>619125</xdr:colOff>
          <xdr:row>78</xdr:row>
          <xdr:rowOff>0</xdr:rowOff>
        </xdr:to>
        <xdr:sp macro="" textlink="">
          <xdr:nvSpPr>
            <xdr:cNvPr id="7279" name="Check Box 111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6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78</xdr:row>
          <xdr:rowOff>0</xdr:rowOff>
        </xdr:from>
        <xdr:to>
          <xdr:col>14</xdr:col>
          <xdr:colOff>619125</xdr:colOff>
          <xdr:row>79</xdr:row>
          <xdr:rowOff>0</xdr:rowOff>
        </xdr:to>
        <xdr:sp macro="" textlink="">
          <xdr:nvSpPr>
            <xdr:cNvPr id="7280" name="Check Box 112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6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79</xdr:row>
          <xdr:rowOff>0</xdr:rowOff>
        </xdr:from>
        <xdr:to>
          <xdr:col>14</xdr:col>
          <xdr:colOff>619125</xdr:colOff>
          <xdr:row>80</xdr:row>
          <xdr:rowOff>0</xdr:rowOff>
        </xdr:to>
        <xdr:sp macro="" textlink="">
          <xdr:nvSpPr>
            <xdr:cNvPr id="7281" name="Check Box 113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6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77</xdr:row>
          <xdr:rowOff>0</xdr:rowOff>
        </xdr:from>
        <xdr:to>
          <xdr:col>17</xdr:col>
          <xdr:colOff>619125</xdr:colOff>
          <xdr:row>78</xdr:row>
          <xdr:rowOff>0</xdr:rowOff>
        </xdr:to>
        <xdr:sp macro="" textlink="">
          <xdr:nvSpPr>
            <xdr:cNvPr id="7282" name="Check Box 114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6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80</xdr:row>
          <xdr:rowOff>0</xdr:rowOff>
        </xdr:from>
        <xdr:to>
          <xdr:col>11</xdr:col>
          <xdr:colOff>619125</xdr:colOff>
          <xdr:row>81</xdr:row>
          <xdr:rowOff>0</xdr:rowOff>
        </xdr:to>
        <xdr:sp macro="" textlink="">
          <xdr:nvSpPr>
            <xdr:cNvPr id="7283" name="Check Box 115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6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81</xdr:row>
          <xdr:rowOff>0</xdr:rowOff>
        </xdr:from>
        <xdr:to>
          <xdr:col>11</xdr:col>
          <xdr:colOff>619125</xdr:colOff>
          <xdr:row>82</xdr:row>
          <xdr:rowOff>0</xdr:rowOff>
        </xdr:to>
        <xdr:sp macro="" textlink="">
          <xdr:nvSpPr>
            <xdr:cNvPr id="7284" name="Check Box 116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6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80</xdr:row>
          <xdr:rowOff>0</xdr:rowOff>
        </xdr:from>
        <xdr:to>
          <xdr:col>14</xdr:col>
          <xdr:colOff>619125</xdr:colOff>
          <xdr:row>81</xdr:row>
          <xdr:rowOff>0</xdr:rowOff>
        </xdr:to>
        <xdr:sp macro="" textlink="">
          <xdr:nvSpPr>
            <xdr:cNvPr id="7285" name="Check Box 117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6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81</xdr:row>
          <xdr:rowOff>0</xdr:rowOff>
        </xdr:from>
        <xdr:to>
          <xdr:col>14</xdr:col>
          <xdr:colOff>619125</xdr:colOff>
          <xdr:row>82</xdr:row>
          <xdr:rowOff>0</xdr:rowOff>
        </xdr:to>
        <xdr:sp macro="" textlink="">
          <xdr:nvSpPr>
            <xdr:cNvPr id="7286" name="Check Box 118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6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80</xdr:row>
          <xdr:rowOff>0</xdr:rowOff>
        </xdr:from>
        <xdr:to>
          <xdr:col>17</xdr:col>
          <xdr:colOff>619125</xdr:colOff>
          <xdr:row>81</xdr:row>
          <xdr:rowOff>0</xdr:rowOff>
        </xdr:to>
        <xdr:sp macro="" textlink="">
          <xdr:nvSpPr>
            <xdr:cNvPr id="7287" name="Check Box 119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6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82</xdr:row>
          <xdr:rowOff>0</xdr:rowOff>
        </xdr:from>
        <xdr:to>
          <xdr:col>11</xdr:col>
          <xdr:colOff>619125</xdr:colOff>
          <xdr:row>83</xdr:row>
          <xdr:rowOff>0</xdr:rowOff>
        </xdr:to>
        <xdr:sp macro="" textlink="">
          <xdr:nvSpPr>
            <xdr:cNvPr id="7288" name="Check Box 120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6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83</xdr:row>
          <xdr:rowOff>0</xdr:rowOff>
        </xdr:from>
        <xdr:to>
          <xdr:col>11</xdr:col>
          <xdr:colOff>619125</xdr:colOff>
          <xdr:row>84</xdr:row>
          <xdr:rowOff>0</xdr:rowOff>
        </xdr:to>
        <xdr:sp macro="" textlink="">
          <xdr:nvSpPr>
            <xdr:cNvPr id="7289" name="Check Box 121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6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82</xdr:row>
          <xdr:rowOff>0</xdr:rowOff>
        </xdr:from>
        <xdr:to>
          <xdr:col>17</xdr:col>
          <xdr:colOff>619125</xdr:colOff>
          <xdr:row>83</xdr:row>
          <xdr:rowOff>0</xdr:rowOff>
        </xdr:to>
        <xdr:sp macro="" textlink="">
          <xdr:nvSpPr>
            <xdr:cNvPr id="7290" name="Check Box 122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6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84</xdr:row>
          <xdr:rowOff>0</xdr:rowOff>
        </xdr:from>
        <xdr:to>
          <xdr:col>11</xdr:col>
          <xdr:colOff>619125</xdr:colOff>
          <xdr:row>85</xdr:row>
          <xdr:rowOff>0</xdr:rowOff>
        </xdr:to>
        <xdr:sp macro="" textlink="">
          <xdr:nvSpPr>
            <xdr:cNvPr id="7291" name="Check Box 123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6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85</xdr:row>
          <xdr:rowOff>0</xdr:rowOff>
        </xdr:from>
        <xdr:to>
          <xdr:col>11</xdr:col>
          <xdr:colOff>619125</xdr:colOff>
          <xdr:row>86</xdr:row>
          <xdr:rowOff>0</xdr:rowOff>
        </xdr:to>
        <xdr:sp macro="" textlink="">
          <xdr:nvSpPr>
            <xdr:cNvPr id="7292" name="Check Box 124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6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84</xdr:row>
          <xdr:rowOff>0</xdr:rowOff>
        </xdr:from>
        <xdr:to>
          <xdr:col>14</xdr:col>
          <xdr:colOff>619125</xdr:colOff>
          <xdr:row>85</xdr:row>
          <xdr:rowOff>0</xdr:rowOff>
        </xdr:to>
        <xdr:sp macro="" textlink="">
          <xdr:nvSpPr>
            <xdr:cNvPr id="7293" name="Check Box 125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6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85</xdr:row>
          <xdr:rowOff>0</xdr:rowOff>
        </xdr:from>
        <xdr:to>
          <xdr:col>14</xdr:col>
          <xdr:colOff>619125</xdr:colOff>
          <xdr:row>86</xdr:row>
          <xdr:rowOff>0</xdr:rowOff>
        </xdr:to>
        <xdr:sp macro="" textlink="">
          <xdr:nvSpPr>
            <xdr:cNvPr id="7294" name="Check Box 126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6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86</xdr:row>
          <xdr:rowOff>0</xdr:rowOff>
        </xdr:from>
        <xdr:to>
          <xdr:col>11</xdr:col>
          <xdr:colOff>619125</xdr:colOff>
          <xdr:row>87</xdr:row>
          <xdr:rowOff>0</xdr:rowOff>
        </xdr:to>
        <xdr:sp macro="" textlink="">
          <xdr:nvSpPr>
            <xdr:cNvPr id="7295" name="Check Box 127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6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86</xdr:row>
          <xdr:rowOff>0</xdr:rowOff>
        </xdr:from>
        <xdr:to>
          <xdr:col>14</xdr:col>
          <xdr:colOff>619125</xdr:colOff>
          <xdr:row>87</xdr:row>
          <xdr:rowOff>0</xdr:rowOff>
        </xdr:to>
        <xdr:sp macro="" textlink="">
          <xdr:nvSpPr>
            <xdr:cNvPr id="7296" name="Check Box 128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6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86</xdr:row>
          <xdr:rowOff>0</xdr:rowOff>
        </xdr:from>
        <xdr:to>
          <xdr:col>17</xdr:col>
          <xdr:colOff>619125</xdr:colOff>
          <xdr:row>87</xdr:row>
          <xdr:rowOff>0</xdr:rowOff>
        </xdr:to>
        <xdr:sp macro="" textlink="">
          <xdr:nvSpPr>
            <xdr:cNvPr id="7297" name="Check Box 129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6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87</xdr:row>
          <xdr:rowOff>0</xdr:rowOff>
        </xdr:from>
        <xdr:to>
          <xdr:col>11</xdr:col>
          <xdr:colOff>619125</xdr:colOff>
          <xdr:row>88</xdr:row>
          <xdr:rowOff>0</xdr:rowOff>
        </xdr:to>
        <xdr:sp macro="" textlink="">
          <xdr:nvSpPr>
            <xdr:cNvPr id="7298" name="Check Box 130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6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88</xdr:row>
          <xdr:rowOff>0</xdr:rowOff>
        </xdr:from>
        <xdr:to>
          <xdr:col>11</xdr:col>
          <xdr:colOff>619125</xdr:colOff>
          <xdr:row>89</xdr:row>
          <xdr:rowOff>0</xdr:rowOff>
        </xdr:to>
        <xdr:sp macro="" textlink="">
          <xdr:nvSpPr>
            <xdr:cNvPr id="7299" name="Check Box 131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6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89</xdr:row>
          <xdr:rowOff>0</xdr:rowOff>
        </xdr:from>
        <xdr:to>
          <xdr:col>11</xdr:col>
          <xdr:colOff>619125</xdr:colOff>
          <xdr:row>90</xdr:row>
          <xdr:rowOff>0</xdr:rowOff>
        </xdr:to>
        <xdr:sp macro="" textlink="">
          <xdr:nvSpPr>
            <xdr:cNvPr id="7300" name="Check Box 132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6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87</xdr:row>
          <xdr:rowOff>0</xdr:rowOff>
        </xdr:from>
        <xdr:to>
          <xdr:col>14</xdr:col>
          <xdr:colOff>619125</xdr:colOff>
          <xdr:row>88</xdr:row>
          <xdr:rowOff>0</xdr:rowOff>
        </xdr:to>
        <xdr:sp macro="" textlink="">
          <xdr:nvSpPr>
            <xdr:cNvPr id="7301" name="Check Box 133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6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88</xdr:row>
          <xdr:rowOff>0</xdr:rowOff>
        </xdr:from>
        <xdr:to>
          <xdr:col>14</xdr:col>
          <xdr:colOff>619125</xdr:colOff>
          <xdr:row>89</xdr:row>
          <xdr:rowOff>0</xdr:rowOff>
        </xdr:to>
        <xdr:sp macro="" textlink="">
          <xdr:nvSpPr>
            <xdr:cNvPr id="7302" name="Check Box 134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6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89</xdr:row>
          <xdr:rowOff>0</xdr:rowOff>
        </xdr:from>
        <xdr:to>
          <xdr:col>14</xdr:col>
          <xdr:colOff>619125</xdr:colOff>
          <xdr:row>90</xdr:row>
          <xdr:rowOff>0</xdr:rowOff>
        </xdr:to>
        <xdr:sp macro="" textlink="">
          <xdr:nvSpPr>
            <xdr:cNvPr id="7303" name="Check Box 135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6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87</xdr:row>
          <xdr:rowOff>0</xdr:rowOff>
        </xdr:from>
        <xdr:to>
          <xdr:col>17</xdr:col>
          <xdr:colOff>619125</xdr:colOff>
          <xdr:row>88</xdr:row>
          <xdr:rowOff>0</xdr:rowOff>
        </xdr:to>
        <xdr:sp macro="" textlink="">
          <xdr:nvSpPr>
            <xdr:cNvPr id="7304" name="Check Box 136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6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89</xdr:row>
          <xdr:rowOff>0</xdr:rowOff>
        </xdr:from>
        <xdr:to>
          <xdr:col>17</xdr:col>
          <xdr:colOff>619125</xdr:colOff>
          <xdr:row>90</xdr:row>
          <xdr:rowOff>0</xdr:rowOff>
        </xdr:to>
        <xdr:sp macro="" textlink="">
          <xdr:nvSpPr>
            <xdr:cNvPr id="7305" name="Check Box 137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6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19</xdr:row>
          <xdr:rowOff>0</xdr:rowOff>
        </xdr:from>
        <xdr:to>
          <xdr:col>19</xdr:col>
          <xdr:colOff>428625</xdr:colOff>
          <xdr:row>20</xdr:row>
          <xdr:rowOff>0</xdr:rowOff>
        </xdr:to>
        <xdr:sp macro="" textlink="">
          <xdr:nvSpPr>
            <xdr:cNvPr id="7306" name="Check Box 138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6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20</xdr:row>
          <xdr:rowOff>0</xdr:rowOff>
        </xdr:from>
        <xdr:to>
          <xdr:col>19</xdr:col>
          <xdr:colOff>428625</xdr:colOff>
          <xdr:row>21</xdr:row>
          <xdr:rowOff>0</xdr:rowOff>
        </xdr:to>
        <xdr:sp macro="" textlink="">
          <xdr:nvSpPr>
            <xdr:cNvPr id="7307" name="Check Box 139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6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21</xdr:row>
          <xdr:rowOff>0</xdr:rowOff>
        </xdr:from>
        <xdr:to>
          <xdr:col>19</xdr:col>
          <xdr:colOff>428625</xdr:colOff>
          <xdr:row>22</xdr:row>
          <xdr:rowOff>0</xdr:rowOff>
        </xdr:to>
        <xdr:sp macro="" textlink="">
          <xdr:nvSpPr>
            <xdr:cNvPr id="7308" name="Check Box 140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6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22</xdr:row>
          <xdr:rowOff>0</xdr:rowOff>
        </xdr:from>
        <xdr:to>
          <xdr:col>19</xdr:col>
          <xdr:colOff>428625</xdr:colOff>
          <xdr:row>23</xdr:row>
          <xdr:rowOff>0</xdr:rowOff>
        </xdr:to>
        <xdr:sp macro="" textlink="">
          <xdr:nvSpPr>
            <xdr:cNvPr id="7309" name="Check Box 141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6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23</xdr:row>
          <xdr:rowOff>0</xdr:rowOff>
        </xdr:from>
        <xdr:to>
          <xdr:col>19</xdr:col>
          <xdr:colOff>428625</xdr:colOff>
          <xdr:row>24</xdr:row>
          <xdr:rowOff>0</xdr:rowOff>
        </xdr:to>
        <xdr:sp macro="" textlink="">
          <xdr:nvSpPr>
            <xdr:cNvPr id="7310" name="Check Box 142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6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24</xdr:row>
          <xdr:rowOff>0</xdr:rowOff>
        </xdr:from>
        <xdr:to>
          <xdr:col>19</xdr:col>
          <xdr:colOff>428625</xdr:colOff>
          <xdr:row>25</xdr:row>
          <xdr:rowOff>0</xdr:rowOff>
        </xdr:to>
        <xdr:sp macro="" textlink="">
          <xdr:nvSpPr>
            <xdr:cNvPr id="7311" name="Check Box 143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6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25</xdr:row>
          <xdr:rowOff>0</xdr:rowOff>
        </xdr:from>
        <xdr:to>
          <xdr:col>19</xdr:col>
          <xdr:colOff>428625</xdr:colOff>
          <xdr:row>26</xdr:row>
          <xdr:rowOff>0</xdr:rowOff>
        </xdr:to>
        <xdr:sp macro="" textlink="">
          <xdr:nvSpPr>
            <xdr:cNvPr id="7312" name="Check Box 144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6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29</xdr:row>
          <xdr:rowOff>0</xdr:rowOff>
        </xdr:from>
        <xdr:to>
          <xdr:col>19</xdr:col>
          <xdr:colOff>428625</xdr:colOff>
          <xdr:row>30</xdr:row>
          <xdr:rowOff>0</xdr:rowOff>
        </xdr:to>
        <xdr:sp macro="" textlink="">
          <xdr:nvSpPr>
            <xdr:cNvPr id="7313" name="Check Box 145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6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30</xdr:row>
          <xdr:rowOff>0</xdr:rowOff>
        </xdr:from>
        <xdr:to>
          <xdr:col>19</xdr:col>
          <xdr:colOff>428625</xdr:colOff>
          <xdr:row>31</xdr:row>
          <xdr:rowOff>0</xdr:rowOff>
        </xdr:to>
        <xdr:sp macro="" textlink="">
          <xdr:nvSpPr>
            <xdr:cNvPr id="7314" name="Check Box 146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6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34</xdr:row>
          <xdr:rowOff>0</xdr:rowOff>
        </xdr:from>
        <xdr:to>
          <xdr:col>19</xdr:col>
          <xdr:colOff>428625</xdr:colOff>
          <xdr:row>35</xdr:row>
          <xdr:rowOff>0</xdr:rowOff>
        </xdr:to>
        <xdr:sp macro="" textlink="">
          <xdr:nvSpPr>
            <xdr:cNvPr id="7315" name="Check Box 147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6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35</xdr:row>
          <xdr:rowOff>0</xdr:rowOff>
        </xdr:from>
        <xdr:to>
          <xdr:col>19</xdr:col>
          <xdr:colOff>428625</xdr:colOff>
          <xdr:row>36</xdr:row>
          <xdr:rowOff>0</xdr:rowOff>
        </xdr:to>
        <xdr:sp macro="" textlink="">
          <xdr:nvSpPr>
            <xdr:cNvPr id="7316" name="Check Box 148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6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36</xdr:row>
          <xdr:rowOff>0</xdr:rowOff>
        </xdr:from>
        <xdr:to>
          <xdr:col>19</xdr:col>
          <xdr:colOff>428625</xdr:colOff>
          <xdr:row>37</xdr:row>
          <xdr:rowOff>0</xdr:rowOff>
        </xdr:to>
        <xdr:sp macro="" textlink="">
          <xdr:nvSpPr>
            <xdr:cNvPr id="7317" name="Check Box 149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6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37</xdr:row>
          <xdr:rowOff>0</xdr:rowOff>
        </xdr:from>
        <xdr:to>
          <xdr:col>19</xdr:col>
          <xdr:colOff>428625</xdr:colOff>
          <xdr:row>38</xdr:row>
          <xdr:rowOff>0</xdr:rowOff>
        </xdr:to>
        <xdr:sp macro="" textlink="">
          <xdr:nvSpPr>
            <xdr:cNvPr id="7318" name="Check Box 150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6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64</xdr:row>
          <xdr:rowOff>0</xdr:rowOff>
        </xdr:from>
        <xdr:to>
          <xdr:col>14</xdr:col>
          <xdr:colOff>619125</xdr:colOff>
          <xdr:row>65</xdr:row>
          <xdr:rowOff>0</xdr:rowOff>
        </xdr:to>
        <xdr:sp macro="" textlink="">
          <xdr:nvSpPr>
            <xdr:cNvPr id="7348" name="Check Box 180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6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41</xdr:row>
          <xdr:rowOff>0</xdr:rowOff>
        </xdr:from>
        <xdr:to>
          <xdr:col>19</xdr:col>
          <xdr:colOff>428625</xdr:colOff>
          <xdr:row>42</xdr:row>
          <xdr:rowOff>0</xdr:rowOff>
        </xdr:to>
        <xdr:sp macro="" textlink="">
          <xdr:nvSpPr>
            <xdr:cNvPr id="7319" name="Check Box 151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6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42</xdr:row>
          <xdr:rowOff>0</xdr:rowOff>
        </xdr:from>
        <xdr:to>
          <xdr:col>19</xdr:col>
          <xdr:colOff>428625</xdr:colOff>
          <xdr:row>43</xdr:row>
          <xdr:rowOff>0</xdr:rowOff>
        </xdr:to>
        <xdr:sp macro="" textlink="">
          <xdr:nvSpPr>
            <xdr:cNvPr id="7320" name="Check Box 152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6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43</xdr:row>
          <xdr:rowOff>0</xdr:rowOff>
        </xdr:from>
        <xdr:to>
          <xdr:col>19</xdr:col>
          <xdr:colOff>428625</xdr:colOff>
          <xdr:row>44</xdr:row>
          <xdr:rowOff>0</xdr:rowOff>
        </xdr:to>
        <xdr:sp macro="" textlink="">
          <xdr:nvSpPr>
            <xdr:cNvPr id="7321" name="Check Box 153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6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44</xdr:row>
          <xdr:rowOff>0</xdr:rowOff>
        </xdr:from>
        <xdr:to>
          <xdr:col>19</xdr:col>
          <xdr:colOff>428625</xdr:colOff>
          <xdr:row>45</xdr:row>
          <xdr:rowOff>0</xdr:rowOff>
        </xdr:to>
        <xdr:sp macro="" textlink="">
          <xdr:nvSpPr>
            <xdr:cNvPr id="7322" name="Check Box 154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6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48</xdr:row>
          <xdr:rowOff>0</xdr:rowOff>
        </xdr:from>
        <xdr:to>
          <xdr:col>19</xdr:col>
          <xdr:colOff>428625</xdr:colOff>
          <xdr:row>49</xdr:row>
          <xdr:rowOff>0</xdr:rowOff>
        </xdr:to>
        <xdr:sp macro="" textlink="">
          <xdr:nvSpPr>
            <xdr:cNvPr id="7323" name="Check Box 155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6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49</xdr:row>
          <xdr:rowOff>0</xdr:rowOff>
        </xdr:from>
        <xdr:to>
          <xdr:col>19</xdr:col>
          <xdr:colOff>428625</xdr:colOff>
          <xdr:row>50</xdr:row>
          <xdr:rowOff>0</xdr:rowOff>
        </xdr:to>
        <xdr:sp macro="" textlink="">
          <xdr:nvSpPr>
            <xdr:cNvPr id="7324" name="Check Box 156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6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53</xdr:row>
          <xdr:rowOff>0</xdr:rowOff>
        </xdr:from>
        <xdr:to>
          <xdr:col>19</xdr:col>
          <xdr:colOff>428625</xdr:colOff>
          <xdr:row>54</xdr:row>
          <xdr:rowOff>0</xdr:rowOff>
        </xdr:to>
        <xdr:sp macro="" textlink="">
          <xdr:nvSpPr>
            <xdr:cNvPr id="7325" name="Check Box 157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6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54</xdr:row>
          <xdr:rowOff>0</xdr:rowOff>
        </xdr:from>
        <xdr:to>
          <xdr:col>19</xdr:col>
          <xdr:colOff>428625</xdr:colOff>
          <xdr:row>55</xdr:row>
          <xdr:rowOff>0</xdr:rowOff>
        </xdr:to>
        <xdr:sp macro="" textlink="">
          <xdr:nvSpPr>
            <xdr:cNvPr id="7326" name="Check Box 158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6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55</xdr:row>
          <xdr:rowOff>0</xdr:rowOff>
        </xdr:from>
        <xdr:to>
          <xdr:col>19</xdr:col>
          <xdr:colOff>428625</xdr:colOff>
          <xdr:row>56</xdr:row>
          <xdr:rowOff>0</xdr:rowOff>
        </xdr:to>
        <xdr:sp macro="" textlink="">
          <xdr:nvSpPr>
            <xdr:cNvPr id="7327" name="Check Box 159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6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56</xdr:row>
          <xdr:rowOff>0</xdr:rowOff>
        </xdr:from>
        <xdr:to>
          <xdr:col>19</xdr:col>
          <xdr:colOff>428625</xdr:colOff>
          <xdr:row>57</xdr:row>
          <xdr:rowOff>0</xdr:rowOff>
        </xdr:to>
        <xdr:sp macro="" textlink="">
          <xdr:nvSpPr>
            <xdr:cNvPr id="7328" name="Check Box 160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6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57</xdr:row>
          <xdr:rowOff>0</xdr:rowOff>
        </xdr:from>
        <xdr:to>
          <xdr:col>19</xdr:col>
          <xdr:colOff>428625</xdr:colOff>
          <xdr:row>58</xdr:row>
          <xdr:rowOff>0</xdr:rowOff>
        </xdr:to>
        <xdr:sp macro="" textlink="">
          <xdr:nvSpPr>
            <xdr:cNvPr id="7329" name="Check Box 161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6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58</xdr:row>
          <xdr:rowOff>0</xdr:rowOff>
        </xdr:from>
        <xdr:to>
          <xdr:col>19</xdr:col>
          <xdr:colOff>428625</xdr:colOff>
          <xdr:row>59</xdr:row>
          <xdr:rowOff>0</xdr:rowOff>
        </xdr:to>
        <xdr:sp macro="" textlink="">
          <xdr:nvSpPr>
            <xdr:cNvPr id="7330" name="Check Box 162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6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59</xdr:row>
          <xdr:rowOff>0</xdr:rowOff>
        </xdr:from>
        <xdr:to>
          <xdr:col>19</xdr:col>
          <xdr:colOff>428625</xdr:colOff>
          <xdr:row>60</xdr:row>
          <xdr:rowOff>0</xdr:rowOff>
        </xdr:to>
        <xdr:sp macro="" textlink="">
          <xdr:nvSpPr>
            <xdr:cNvPr id="7331" name="Check Box 163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6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60</xdr:row>
          <xdr:rowOff>0</xdr:rowOff>
        </xdr:from>
        <xdr:to>
          <xdr:col>19</xdr:col>
          <xdr:colOff>428625</xdr:colOff>
          <xdr:row>61</xdr:row>
          <xdr:rowOff>0</xdr:rowOff>
        </xdr:to>
        <xdr:sp macro="" textlink="">
          <xdr:nvSpPr>
            <xdr:cNvPr id="7333" name="Check Box 165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6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64</xdr:row>
          <xdr:rowOff>0</xdr:rowOff>
        </xdr:from>
        <xdr:to>
          <xdr:col>19</xdr:col>
          <xdr:colOff>428625</xdr:colOff>
          <xdr:row>65</xdr:row>
          <xdr:rowOff>0</xdr:rowOff>
        </xdr:to>
        <xdr:sp macro="" textlink="">
          <xdr:nvSpPr>
            <xdr:cNvPr id="7334" name="Check Box 166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6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64</xdr:row>
          <xdr:rowOff>247650</xdr:rowOff>
        </xdr:from>
        <xdr:to>
          <xdr:col>19</xdr:col>
          <xdr:colOff>428625</xdr:colOff>
          <xdr:row>67</xdr:row>
          <xdr:rowOff>0</xdr:rowOff>
        </xdr:to>
        <xdr:sp macro="" textlink="">
          <xdr:nvSpPr>
            <xdr:cNvPr id="7335" name="Check Box 167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6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68</xdr:row>
          <xdr:rowOff>0</xdr:rowOff>
        </xdr:from>
        <xdr:to>
          <xdr:col>19</xdr:col>
          <xdr:colOff>428625</xdr:colOff>
          <xdr:row>69</xdr:row>
          <xdr:rowOff>0</xdr:rowOff>
        </xdr:to>
        <xdr:sp macro="" textlink="">
          <xdr:nvSpPr>
            <xdr:cNvPr id="7336" name="Check Box 168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6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68</xdr:row>
          <xdr:rowOff>247650</xdr:rowOff>
        </xdr:from>
        <xdr:to>
          <xdr:col>19</xdr:col>
          <xdr:colOff>428625</xdr:colOff>
          <xdr:row>74</xdr:row>
          <xdr:rowOff>9525</xdr:rowOff>
        </xdr:to>
        <xdr:sp macro="" textlink="">
          <xdr:nvSpPr>
            <xdr:cNvPr id="7337" name="Check Box 169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6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74</xdr:row>
          <xdr:rowOff>0</xdr:rowOff>
        </xdr:from>
        <xdr:to>
          <xdr:col>19</xdr:col>
          <xdr:colOff>428625</xdr:colOff>
          <xdr:row>75</xdr:row>
          <xdr:rowOff>0</xdr:rowOff>
        </xdr:to>
        <xdr:sp macro="" textlink="">
          <xdr:nvSpPr>
            <xdr:cNvPr id="7338" name="Check Box 170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6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76</xdr:row>
          <xdr:rowOff>0</xdr:rowOff>
        </xdr:from>
        <xdr:to>
          <xdr:col>19</xdr:col>
          <xdr:colOff>428625</xdr:colOff>
          <xdr:row>77</xdr:row>
          <xdr:rowOff>0</xdr:rowOff>
        </xdr:to>
        <xdr:sp macro="" textlink="">
          <xdr:nvSpPr>
            <xdr:cNvPr id="7339" name="Check Box 171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6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76</xdr:row>
          <xdr:rowOff>247650</xdr:rowOff>
        </xdr:from>
        <xdr:to>
          <xdr:col>19</xdr:col>
          <xdr:colOff>428625</xdr:colOff>
          <xdr:row>80</xdr:row>
          <xdr:rowOff>9525</xdr:rowOff>
        </xdr:to>
        <xdr:sp macro="" textlink="">
          <xdr:nvSpPr>
            <xdr:cNvPr id="7340" name="Check Box 172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6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80</xdr:row>
          <xdr:rowOff>0</xdr:rowOff>
        </xdr:from>
        <xdr:to>
          <xdr:col>19</xdr:col>
          <xdr:colOff>428625</xdr:colOff>
          <xdr:row>82</xdr:row>
          <xdr:rowOff>0</xdr:rowOff>
        </xdr:to>
        <xdr:sp macro="" textlink="">
          <xdr:nvSpPr>
            <xdr:cNvPr id="7341" name="Check Box 173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6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81</xdr:row>
          <xdr:rowOff>247650</xdr:rowOff>
        </xdr:from>
        <xdr:to>
          <xdr:col>19</xdr:col>
          <xdr:colOff>428625</xdr:colOff>
          <xdr:row>84</xdr:row>
          <xdr:rowOff>0</xdr:rowOff>
        </xdr:to>
        <xdr:sp macro="" textlink="">
          <xdr:nvSpPr>
            <xdr:cNvPr id="7342" name="Check Box 174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6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84</xdr:row>
          <xdr:rowOff>0</xdr:rowOff>
        </xdr:from>
        <xdr:to>
          <xdr:col>19</xdr:col>
          <xdr:colOff>428625</xdr:colOff>
          <xdr:row>85</xdr:row>
          <xdr:rowOff>0</xdr:rowOff>
        </xdr:to>
        <xdr:sp macro="" textlink="">
          <xdr:nvSpPr>
            <xdr:cNvPr id="7343" name="Check Box 175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6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85</xdr:row>
          <xdr:rowOff>0</xdr:rowOff>
        </xdr:from>
        <xdr:to>
          <xdr:col>19</xdr:col>
          <xdr:colOff>428625</xdr:colOff>
          <xdr:row>86</xdr:row>
          <xdr:rowOff>0</xdr:rowOff>
        </xdr:to>
        <xdr:sp macro="" textlink="">
          <xdr:nvSpPr>
            <xdr:cNvPr id="7344" name="Check Box 176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6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86</xdr:row>
          <xdr:rowOff>0</xdr:rowOff>
        </xdr:from>
        <xdr:to>
          <xdr:col>19</xdr:col>
          <xdr:colOff>428625</xdr:colOff>
          <xdr:row>87</xdr:row>
          <xdr:rowOff>0</xdr:rowOff>
        </xdr:to>
        <xdr:sp macro="" textlink="">
          <xdr:nvSpPr>
            <xdr:cNvPr id="7345" name="Check Box 177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6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87</xdr:row>
          <xdr:rowOff>0</xdr:rowOff>
        </xdr:from>
        <xdr:to>
          <xdr:col>19</xdr:col>
          <xdr:colOff>428625</xdr:colOff>
          <xdr:row>89</xdr:row>
          <xdr:rowOff>0</xdr:rowOff>
        </xdr:to>
        <xdr:sp macro="" textlink="">
          <xdr:nvSpPr>
            <xdr:cNvPr id="7346" name="Check Box 178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6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89</xdr:row>
          <xdr:rowOff>0</xdr:rowOff>
        </xdr:from>
        <xdr:to>
          <xdr:col>19</xdr:col>
          <xdr:colOff>428625</xdr:colOff>
          <xdr:row>90</xdr:row>
          <xdr:rowOff>0</xdr:rowOff>
        </xdr:to>
        <xdr:sp macro="" textlink="">
          <xdr:nvSpPr>
            <xdr:cNvPr id="7347" name="Check Box 179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6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116</xdr:row>
      <xdr:rowOff>107441</xdr:rowOff>
    </xdr:from>
    <xdr:to>
      <xdr:col>24</xdr:col>
      <xdr:colOff>0</xdr:colOff>
      <xdr:row>117</xdr:row>
      <xdr:rowOff>323850</xdr:rowOff>
    </xdr:to>
    <xdr:grpSp>
      <xdr:nvGrpSpPr>
        <xdr:cNvPr id="2" name="Footer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0" y="22719791"/>
          <a:ext cx="12915900" cy="787909"/>
          <a:chOff x="0" y="57800366"/>
          <a:chExt cx="12915900" cy="787909"/>
        </a:xfrm>
      </xdr:grpSpPr>
      <xdr:sp macro="" textlink="">
        <xdr:nvSpPr>
          <xdr:cNvPr id="3" name="Spacer Footer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4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5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10</xdr:row>
      <xdr:rowOff>39251</xdr:rowOff>
    </xdr:to>
    <xdr:pic>
      <xdr:nvPicPr>
        <xdr:cNvPr id="26" name="Logo VBB SB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11</xdr:row>
      <xdr:rowOff>77416</xdr:rowOff>
    </xdr:from>
    <xdr:to>
      <xdr:col>24</xdr:col>
      <xdr:colOff>406</xdr:colOff>
      <xdr:row>15</xdr:row>
      <xdr:rowOff>184934</xdr:rowOff>
    </xdr:to>
    <xdr:sp macro="" textlink="">
      <xdr:nvSpPr>
        <xdr:cNvPr id="27" name="Spacer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8" name="Spacer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absoluteAnchor>
    <xdr:pos x="361950" y="205371"/>
    <xdr:ext cx="9662855" cy="270879"/>
    <xdr:grpSp>
      <xdr:nvGrpSpPr>
        <xdr:cNvPr id="9" name="Navigation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10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1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1" y="263342"/>
            <a:ext cx="215821" cy="173755"/>
          </a:xfrm>
          <a:prstGeom prst="rect">
            <a:avLst/>
          </a:prstGeom>
        </xdr:spPr>
      </xdr:pic>
      <xdr:sp macro="" textlink="">
        <xdr:nvSpPr>
          <xdr:cNvPr id="12" name="00 Bestan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3" name="123 Bestand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4" name="A Bestandseingabe">
            <a:hlinkClick xmlns:r="http://schemas.openxmlformats.org/officeDocument/2006/relationships" r:id="rId9" tooltip="Klicken, um zu Teil A zu gelangen.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5" name="B Parametereingabe">
            <a:hlinkClick xmlns:r="http://schemas.openxmlformats.org/officeDocument/2006/relationships" r:id="rId10" tooltip="Klicken, um zu Teil B zu gelangen."/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6" name="C Ergebnisjustierung">
            <a:hlinkClick xmlns:r="http://schemas.openxmlformats.org/officeDocument/2006/relationships" r:id="rId11" tooltip="Klicken, um zu Teil C zu gelangen."/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D Kostenanalyse">
            <a:hlinkClick xmlns:r="http://schemas.openxmlformats.org/officeDocument/2006/relationships" r:id="rId12" tooltip="Klicken, um zu Teil D zu gelangen."/>
            <a:extLst>
              <a:ext uri="{FF2B5EF4-FFF2-40B4-BE49-F238E27FC236}">
                <a16:creationId xmlns:a16="http://schemas.microsoft.com/office/drawing/2014/main" id="{00000000-0008-0000-0700-000011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8" name="E Projektbeschreibung">
            <a:hlinkClick xmlns:r="http://schemas.openxmlformats.org/officeDocument/2006/relationships" r:id="rId13" tooltip="Klicken, um zu Teil E zu gelangen."/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F Kurzbericht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</xdr:grpSp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152400</xdr:colOff>
      <xdr:row>0</xdr:row>
      <xdr:rowOff>54900</xdr:rowOff>
    </xdr:from>
    <xdr:to>
      <xdr:col>8</xdr:col>
      <xdr:colOff>552450</xdr:colOff>
      <xdr:row>0</xdr:row>
      <xdr:rowOff>342900</xdr:rowOff>
    </xdr:to>
    <xdr:sp macro="" textlink="">
      <xdr:nvSpPr>
        <xdr:cNvPr id="2" name="Rectangle: Rounded Corners 1">
          <a:hlinkClick xmlns:r="http://schemas.openxmlformats.org/officeDocument/2006/relationships" r:id="rId1" tooltip="jump to...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3705225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Zuordnung Stellplätze</a:t>
          </a:r>
        </a:p>
      </xdr:txBody>
    </xdr:sp>
    <xdr:clientData/>
  </xdr:twoCellAnchor>
  <xdr:twoCellAnchor editAs="absolute">
    <xdr:from>
      <xdr:col>9</xdr:col>
      <xdr:colOff>49212</xdr:colOff>
      <xdr:row>0</xdr:row>
      <xdr:rowOff>54900</xdr:rowOff>
    </xdr:from>
    <xdr:to>
      <xdr:col>11</xdr:col>
      <xdr:colOff>449262</xdr:colOff>
      <xdr:row>0</xdr:row>
      <xdr:rowOff>342900</xdr:rowOff>
    </xdr:to>
    <xdr:sp macro="" textlink="">
      <xdr:nvSpPr>
        <xdr:cNvPr id="3" name="Rectangle: Rounded Corners 2">
          <a:hlinkClick xmlns:r="http://schemas.openxmlformats.org/officeDocument/2006/relationships" r:id="rId2" tooltip="jump to...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5545137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VST</a:t>
          </a:r>
          <a:r>
            <a:rPr lang="de-DE" sz="1100" baseline="0">
              <a:solidFill>
                <a:schemeClr val="accent1">
                  <a:lumMod val="50000"/>
                </a:schemeClr>
              </a:solidFill>
            </a:rPr>
            <a:t> / Zugänge / TF</a:t>
          </a:r>
        </a:p>
      </xdr:txBody>
    </xdr:sp>
    <xdr:clientData/>
  </xdr:twoCellAnchor>
  <xdr:twoCellAnchor editAs="absolute">
    <xdr:from>
      <xdr:col>11</xdr:col>
      <xdr:colOff>593724</xdr:colOff>
      <xdr:row>0</xdr:row>
      <xdr:rowOff>54900</xdr:rowOff>
    </xdr:from>
    <xdr:to>
      <xdr:col>14</xdr:col>
      <xdr:colOff>346074</xdr:colOff>
      <xdr:row>0</xdr:row>
      <xdr:rowOff>342900</xdr:rowOff>
    </xdr:to>
    <xdr:sp macro="" textlink="">
      <xdr:nvSpPr>
        <xdr:cNvPr id="4" name="Rectangle: Rounded Corners 3">
          <a:hlinkClick xmlns:r="http://schemas.openxmlformats.org/officeDocument/2006/relationships" r:id="rId3" tooltip="jump to...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385049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Fehlermanagement</a:t>
          </a:r>
        </a:p>
      </xdr:txBody>
    </xdr:sp>
    <xdr:clientData/>
  </xdr:twoCellAnchor>
  <xdr:twoCellAnchor editAs="absolute">
    <xdr:from>
      <xdr:col>14</xdr:col>
      <xdr:colOff>490536</xdr:colOff>
      <xdr:row>0</xdr:row>
      <xdr:rowOff>54900</xdr:rowOff>
    </xdr:from>
    <xdr:to>
      <xdr:col>17</xdr:col>
      <xdr:colOff>242886</xdr:colOff>
      <xdr:row>0</xdr:row>
      <xdr:rowOff>342900</xdr:rowOff>
    </xdr:to>
    <xdr:sp macro="" textlink="">
      <xdr:nvSpPr>
        <xdr:cNvPr id="5" name="Rectangle: Rounded Corners 4">
          <a:hlinkClick xmlns:r="http://schemas.openxmlformats.org/officeDocument/2006/relationships" r:id="rId4" tooltip="jump to...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9224961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Auswahlfelder</a:t>
          </a:r>
          <a:r>
            <a:rPr lang="de-DE" sz="1100" baseline="0">
              <a:solidFill>
                <a:schemeClr val="accent1">
                  <a:lumMod val="50000"/>
                </a:schemeClr>
              </a:solidFill>
            </a:rPr>
            <a:t> + Variabl.</a:t>
          </a:r>
          <a:endParaRPr lang="de-DE" sz="1100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  <xdr:twoCellAnchor editAs="absolute">
    <xdr:from>
      <xdr:col>17</xdr:col>
      <xdr:colOff>387348</xdr:colOff>
      <xdr:row>0</xdr:row>
      <xdr:rowOff>54900</xdr:rowOff>
    </xdr:from>
    <xdr:to>
      <xdr:col>20</xdr:col>
      <xdr:colOff>139698</xdr:colOff>
      <xdr:row>0</xdr:row>
      <xdr:rowOff>342900</xdr:rowOff>
    </xdr:to>
    <xdr:sp macro="" textlink="">
      <xdr:nvSpPr>
        <xdr:cNvPr id="6" name="Rectangle: Rounded Corners 5">
          <a:hlinkClick xmlns:r="http://schemas.openxmlformats.org/officeDocument/2006/relationships" r:id="rId5" tooltip="jump to...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1064873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Variable Textbausteine</a:t>
          </a:r>
        </a:p>
      </xdr:txBody>
    </xdr:sp>
    <xdr:clientData/>
  </xdr:twoCellAnchor>
  <xdr:twoCellAnchor editAs="absolute">
    <xdr:from>
      <xdr:col>20</xdr:col>
      <xdr:colOff>284160</xdr:colOff>
      <xdr:row>0</xdr:row>
      <xdr:rowOff>54900</xdr:rowOff>
    </xdr:from>
    <xdr:to>
      <xdr:col>23</xdr:col>
      <xdr:colOff>36510</xdr:colOff>
      <xdr:row>0</xdr:row>
      <xdr:rowOff>342900</xdr:rowOff>
    </xdr:to>
    <xdr:sp macro="" textlink="">
      <xdr:nvSpPr>
        <xdr:cNvPr id="7" name="Rectangle: Rounded Corners 6">
          <a:hlinkClick xmlns:r="http://schemas.openxmlformats.org/officeDocument/2006/relationships" r:id="rId6" tooltip="jump to...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12904785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Checkboxen</a:t>
          </a:r>
        </a:p>
      </xdr:txBody>
    </xdr:sp>
    <xdr:clientData/>
  </xdr:twoCellAnchor>
  <xdr:twoCellAnchor editAs="absolute">
    <xdr:from>
      <xdr:col>23</xdr:col>
      <xdr:colOff>180975</xdr:colOff>
      <xdr:row>0</xdr:row>
      <xdr:rowOff>54900</xdr:rowOff>
    </xdr:from>
    <xdr:to>
      <xdr:col>25</xdr:col>
      <xdr:colOff>581025</xdr:colOff>
      <xdr:row>0</xdr:row>
      <xdr:rowOff>342900</xdr:rowOff>
    </xdr:to>
    <xdr:sp macro="" textlink="">
      <xdr:nvSpPr>
        <xdr:cNvPr id="8" name="Rectangle: Rounded Corners 7">
          <a:hlinkClick xmlns:r="http://schemas.openxmlformats.org/officeDocument/2006/relationships" r:id="rId7" tooltip="jump to...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4744700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Richtwerte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R Bedarfsermittlung">
      <a:dk1>
        <a:sysClr val="windowText" lastClr="000000"/>
      </a:dk1>
      <a:lt1>
        <a:sysClr val="window" lastClr="FFFFFF"/>
      </a:lt1>
      <a:dk2>
        <a:srgbClr val="44546A"/>
      </a:dk2>
      <a:lt2>
        <a:srgbClr val="A5A5A5"/>
      </a:lt2>
      <a:accent1>
        <a:srgbClr val="954F72"/>
      </a:accent1>
      <a:accent2>
        <a:srgbClr val="ED7D31"/>
      </a:accent2>
      <a:accent3>
        <a:srgbClr val="FFC000"/>
      </a:accent3>
      <a:accent4>
        <a:srgbClr val="70AD47"/>
      </a:accent4>
      <a:accent5>
        <a:srgbClr val="0563C1"/>
      </a:accent5>
      <a:accent6>
        <a:srgbClr val="C00000"/>
      </a:accent6>
      <a:hlink>
        <a:srgbClr val="0563C1"/>
      </a:hlink>
      <a:folHlink>
        <a:srgbClr val="0563C1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ukas.benda@bahnstadt.de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2.xml"/><Relationship Id="rId117" Type="http://schemas.openxmlformats.org/officeDocument/2006/relationships/ctrlProp" Target="../ctrlProps/ctrlProp113.xml"/><Relationship Id="rId21" Type="http://schemas.openxmlformats.org/officeDocument/2006/relationships/ctrlProp" Target="../ctrlProps/ctrlProp17.xml"/><Relationship Id="rId42" Type="http://schemas.openxmlformats.org/officeDocument/2006/relationships/ctrlProp" Target="../ctrlProps/ctrlProp38.xml"/><Relationship Id="rId47" Type="http://schemas.openxmlformats.org/officeDocument/2006/relationships/ctrlProp" Target="../ctrlProps/ctrlProp43.xml"/><Relationship Id="rId63" Type="http://schemas.openxmlformats.org/officeDocument/2006/relationships/ctrlProp" Target="../ctrlProps/ctrlProp59.xml"/><Relationship Id="rId68" Type="http://schemas.openxmlformats.org/officeDocument/2006/relationships/ctrlProp" Target="../ctrlProps/ctrlProp64.xml"/><Relationship Id="rId84" Type="http://schemas.openxmlformats.org/officeDocument/2006/relationships/ctrlProp" Target="../ctrlProps/ctrlProp80.xml"/><Relationship Id="rId89" Type="http://schemas.openxmlformats.org/officeDocument/2006/relationships/ctrlProp" Target="../ctrlProps/ctrlProp85.xml"/><Relationship Id="rId112" Type="http://schemas.openxmlformats.org/officeDocument/2006/relationships/ctrlProp" Target="../ctrlProps/ctrlProp108.xml"/><Relationship Id="rId16" Type="http://schemas.openxmlformats.org/officeDocument/2006/relationships/ctrlProp" Target="../ctrlProps/ctrlProp12.xml"/><Relationship Id="rId107" Type="http://schemas.openxmlformats.org/officeDocument/2006/relationships/ctrlProp" Target="../ctrlProps/ctrlProp103.xml"/><Relationship Id="rId11" Type="http://schemas.openxmlformats.org/officeDocument/2006/relationships/ctrlProp" Target="../ctrlProps/ctrlProp7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3" Type="http://schemas.openxmlformats.org/officeDocument/2006/relationships/ctrlProp" Target="../ctrlProps/ctrlProp49.xml"/><Relationship Id="rId58" Type="http://schemas.openxmlformats.org/officeDocument/2006/relationships/ctrlProp" Target="../ctrlProps/ctrlProp54.xml"/><Relationship Id="rId74" Type="http://schemas.openxmlformats.org/officeDocument/2006/relationships/ctrlProp" Target="../ctrlProps/ctrlProp70.xml"/><Relationship Id="rId79" Type="http://schemas.openxmlformats.org/officeDocument/2006/relationships/ctrlProp" Target="../ctrlProps/ctrlProp75.xml"/><Relationship Id="rId102" Type="http://schemas.openxmlformats.org/officeDocument/2006/relationships/ctrlProp" Target="../ctrlProps/ctrlProp98.xml"/><Relationship Id="rId5" Type="http://schemas.openxmlformats.org/officeDocument/2006/relationships/ctrlProp" Target="../ctrlProps/ctrlProp1.xml"/><Relationship Id="rId90" Type="http://schemas.openxmlformats.org/officeDocument/2006/relationships/ctrlProp" Target="../ctrlProps/ctrlProp86.xml"/><Relationship Id="rId95" Type="http://schemas.openxmlformats.org/officeDocument/2006/relationships/ctrlProp" Target="../ctrlProps/ctrlProp91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43" Type="http://schemas.openxmlformats.org/officeDocument/2006/relationships/ctrlProp" Target="../ctrlProps/ctrlProp39.xml"/><Relationship Id="rId48" Type="http://schemas.openxmlformats.org/officeDocument/2006/relationships/ctrlProp" Target="../ctrlProps/ctrlProp44.xml"/><Relationship Id="rId64" Type="http://schemas.openxmlformats.org/officeDocument/2006/relationships/ctrlProp" Target="../ctrlProps/ctrlProp60.xml"/><Relationship Id="rId69" Type="http://schemas.openxmlformats.org/officeDocument/2006/relationships/ctrlProp" Target="../ctrlProps/ctrlProp65.xml"/><Relationship Id="rId113" Type="http://schemas.openxmlformats.org/officeDocument/2006/relationships/ctrlProp" Target="../ctrlProps/ctrlProp109.xml"/><Relationship Id="rId118" Type="http://schemas.openxmlformats.org/officeDocument/2006/relationships/ctrlProp" Target="../ctrlProps/ctrlProp114.xml"/><Relationship Id="rId80" Type="http://schemas.openxmlformats.org/officeDocument/2006/relationships/ctrlProp" Target="../ctrlProps/ctrlProp76.xml"/><Relationship Id="rId85" Type="http://schemas.openxmlformats.org/officeDocument/2006/relationships/ctrlProp" Target="../ctrlProps/ctrlProp81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59" Type="http://schemas.openxmlformats.org/officeDocument/2006/relationships/ctrlProp" Target="../ctrlProps/ctrlProp55.xml"/><Relationship Id="rId103" Type="http://schemas.openxmlformats.org/officeDocument/2006/relationships/ctrlProp" Target="../ctrlProps/ctrlProp99.xml"/><Relationship Id="rId108" Type="http://schemas.openxmlformats.org/officeDocument/2006/relationships/ctrlProp" Target="../ctrlProps/ctrlProp104.xml"/><Relationship Id="rId54" Type="http://schemas.openxmlformats.org/officeDocument/2006/relationships/ctrlProp" Target="../ctrlProps/ctrlProp50.xml"/><Relationship Id="rId70" Type="http://schemas.openxmlformats.org/officeDocument/2006/relationships/ctrlProp" Target="../ctrlProps/ctrlProp66.xml"/><Relationship Id="rId75" Type="http://schemas.openxmlformats.org/officeDocument/2006/relationships/ctrlProp" Target="../ctrlProps/ctrlProp71.xml"/><Relationship Id="rId91" Type="http://schemas.openxmlformats.org/officeDocument/2006/relationships/ctrlProp" Target="../ctrlProps/ctrlProp87.xml"/><Relationship Id="rId96" Type="http://schemas.openxmlformats.org/officeDocument/2006/relationships/ctrlProp" Target="../ctrlProps/ctrlProp92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49" Type="http://schemas.openxmlformats.org/officeDocument/2006/relationships/ctrlProp" Target="../ctrlProps/ctrlProp45.xml"/><Relationship Id="rId114" Type="http://schemas.openxmlformats.org/officeDocument/2006/relationships/ctrlProp" Target="../ctrlProps/ctrlProp110.xml"/><Relationship Id="rId119" Type="http://schemas.openxmlformats.org/officeDocument/2006/relationships/ctrlProp" Target="../ctrlProps/ctrlProp115.xml"/><Relationship Id="rId10" Type="http://schemas.openxmlformats.org/officeDocument/2006/relationships/ctrlProp" Target="../ctrlProps/ctrlProp6.xml"/><Relationship Id="rId31" Type="http://schemas.openxmlformats.org/officeDocument/2006/relationships/ctrlProp" Target="../ctrlProps/ctrlProp27.xml"/><Relationship Id="rId44" Type="http://schemas.openxmlformats.org/officeDocument/2006/relationships/ctrlProp" Target="../ctrlProps/ctrlProp40.xml"/><Relationship Id="rId52" Type="http://schemas.openxmlformats.org/officeDocument/2006/relationships/ctrlProp" Target="../ctrlProps/ctrlProp48.xml"/><Relationship Id="rId60" Type="http://schemas.openxmlformats.org/officeDocument/2006/relationships/ctrlProp" Target="../ctrlProps/ctrlProp56.xml"/><Relationship Id="rId65" Type="http://schemas.openxmlformats.org/officeDocument/2006/relationships/ctrlProp" Target="../ctrlProps/ctrlProp61.xml"/><Relationship Id="rId73" Type="http://schemas.openxmlformats.org/officeDocument/2006/relationships/ctrlProp" Target="../ctrlProps/ctrlProp69.xml"/><Relationship Id="rId78" Type="http://schemas.openxmlformats.org/officeDocument/2006/relationships/ctrlProp" Target="../ctrlProps/ctrlProp74.xml"/><Relationship Id="rId81" Type="http://schemas.openxmlformats.org/officeDocument/2006/relationships/ctrlProp" Target="../ctrlProps/ctrlProp77.xml"/><Relationship Id="rId86" Type="http://schemas.openxmlformats.org/officeDocument/2006/relationships/ctrlProp" Target="../ctrlProps/ctrlProp82.xml"/><Relationship Id="rId94" Type="http://schemas.openxmlformats.org/officeDocument/2006/relationships/ctrlProp" Target="../ctrlProps/ctrlProp90.xml"/><Relationship Id="rId99" Type="http://schemas.openxmlformats.org/officeDocument/2006/relationships/ctrlProp" Target="../ctrlProps/ctrlProp95.xml"/><Relationship Id="rId101" Type="http://schemas.openxmlformats.org/officeDocument/2006/relationships/ctrlProp" Target="../ctrlProps/ctrlProp97.xml"/><Relationship Id="rId4" Type="http://schemas.openxmlformats.org/officeDocument/2006/relationships/vmlDrawing" Target="../drawings/vmlDrawing8.vml"/><Relationship Id="rId9" Type="http://schemas.openxmlformats.org/officeDocument/2006/relationships/ctrlProp" Target="../ctrlProps/ctrlProp5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9" Type="http://schemas.openxmlformats.org/officeDocument/2006/relationships/ctrlProp" Target="../ctrlProps/ctrlProp35.xml"/><Relationship Id="rId109" Type="http://schemas.openxmlformats.org/officeDocument/2006/relationships/ctrlProp" Target="../ctrlProps/ctrlProp105.xml"/><Relationship Id="rId34" Type="http://schemas.openxmlformats.org/officeDocument/2006/relationships/ctrlProp" Target="../ctrlProps/ctrlProp30.xml"/><Relationship Id="rId50" Type="http://schemas.openxmlformats.org/officeDocument/2006/relationships/ctrlProp" Target="../ctrlProps/ctrlProp46.xml"/><Relationship Id="rId55" Type="http://schemas.openxmlformats.org/officeDocument/2006/relationships/ctrlProp" Target="../ctrlProps/ctrlProp51.xml"/><Relationship Id="rId76" Type="http://schemas.openxmlformats.org/officeDocument/2006/relationships/ctrlProp" Target="../ctrlProps/ctrlProp72.xml"/><Relationship Id="rId97" Type="http://schemas.openxmlformats.org/officeDocument/2006/relationships/ctrlProp" Target="../ctrlProps/ctrlProp93.xml"/><Relationship Id="rId104" Type="http://schemas.openxmlformats.org/officeDocument/2006/relationships/ctrlProp" Target="../ctrlProps/ctrlProp100.xml"/><Relationship Id="rId7" Type="http://schemas.openxmlformats.org/officeDocument/2006/relationships/ctrlProp" Target="../ctrlProps/ctrlProp3.xml"/><Relationship Id="rId71" Type="http://schemas.openxmlformats.org/officeDocument/2006/relationships/ctrlProp" Target="../ctrlProps/ctrlProp67.xml"/><Relationship Id="rId92" Type="http://schemas.openxmlformats.org/officeDocument/2006/relationships/ctrlProp" Target="../ctrlProps/ctrlProp88.xml"/><Relationship Id="rId2" Type="http://schemas.openxmlformats.org/officeDocument/2006/relationships/drawing" Target="../drawings/drawing7.xml"/><Relationship Id="rId29" Type="http://schemas.openxmlformats.org/officeDocument/2006/relationships/ctrlProp" Target="../ctrlProps/ctrlProp25.xml"/><Relationship Id="rId24" Type="http://schemas.openxmlformats.org/officeDocument/2006/relationships/ctrlProp" Target="../ctrlProps/ctrlProp20.xml"/><Relationship Id="rId40" Type="http://schemas.openxmlformats.org/officeDocument/2006/relationships/ctrlProp" Target="../ctrlProps/ctrlProp36.xml"/><Relationship Id="rId45" Type="http://schemas.openxmlformats.org/officeDocument/2006/relationships/ctrlProp" Target="../ctrlProps/ctrlProp41.xml"/><Relationship Id="rId66" Type="http://schemas.openxmlformats.org/officeDocument/2006/relationships/ctrlProp" Target="../ctrlProps/ctrlProp62.xml"/><Relationship Id="rId87" Type="http://schemas.openxmlformats.org/officeDocument/2006/relationships/ctrlProp" Target="../ctrlProps/ctrlProp83.xml"/><Relationship Id="rId110" Type="http://schemas.openxmlformats.org/officeDocument/2006/relationships/ctrlProp" Target="../ctrlProps/ctrlProp106.xml"/><Relationship Id="rId115" Type="http://schemas.openxmlformats.org/officeDocument/2006/relationships/ctrlProp" Target="../ctrlProps/ctrlProp111.xml"/><Relationship Id="rId61" Type="http://schemas.openxmlformats.org/officeDocument/2006/relationships/ctrlProp" Target="../ctrlProps/ctrlProp57.xml"/><Relationship Id="rId82" Type="http://schemas.openxmlformats.org/officeDocument/2006/relationships/ctrlProp" Target="../ctrlProps/ctrlProp78.xml"/><Relationship Id="rId19" Type="http://schemas.openxmlformats.org/officeDocument/2006/relationships/ctrlProp" Target="../ctrlProps/ctrlProp15.xml"/><Relationship Id="rId14" Type="http://schemas.openxmlformats.org/officeDocument/2006/relationships/ctrlProp" Target="../ctrlProps/ctrlProp10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56" Type="http://schemas.openxmlformats.org/officeDocument/2006/relationships/ctrlProp" Target="../ctrlProps/ctrlProp52.xml"/><Relationship Id="rId77" Type="http://schemas.openxmlformats.org/officeDocument/2006/relationships/ctrlProp" Target="../ctrlProps/ctrlProp73.xml"/><Relationship Id="rId100" Type="http://schemas.openxmlformats.org/officeDocument/2006/relationships/ctrlProp" Target="../ctrlProps/ctrlProp96.xml"/><Relationship Id="rId105" Type="http://schemas.openxmlformats.org/officeDocument/2006/relationships/ctrlProp" Target="../ctrlProps/ctrlProp101.xml"/><Relationship Id="rId8" Type="http://schemas.openxmlformats.org/officeDocument/2006/relationships/ctrlProp" Target="../ctrlProps/ctrlProp4.xml"/><Relationship Id="rId51" Type="http://schemas.openxmlformats.org/officeDocument/2006/relationships/ctrlProp" Target="../ctrlProps/ctrlProp47.xml"/><Relationship Id="rId72" Type="http://schemas.openxmlformats.org/officeDocument/2006/relationships/ctrlProp" Target="../ctrlProps/ctrlProp68.xml"/><Relationship Id="rId93" Type="http://schemas.openxmlformats.org/officeDocument/2006/relationships/ctrlProp" Target="../ctrlProps/ctrlProp89.xml"/><Relationship Id="rId98" Type="http://schemas.openxmlformats.org/officeDocument/2006/relationships/ctrlProp" Target="../ctrlProps/ctrlProp94.xml"/><Relationship Id="rId3" Type="http://schemas.openxmlformats.org/officeDocument/2006/relationships/vmlDrawing" Target="../drawings/vmlDrawing7.vml"/><Relationship Id="rId25" Type="http://schemas.openxmlformats.org/officeDocument/2006/relationships/ctrlProp" Target="../ctrlProps/ctrlProp21.xml"/><Relationship Id="rId46" Type="http://schemas.openxmlformats.org/officeDocument/2006/relationships/ctrlProp" Target="../ctrlProps/ctrlProp42.xml"/><Relationship Id="rId67" Type="http://schemas.openxmlformats.org/officeDocument/2006/relationships/ctrlProp" Target="../ctrlProps/ctrlProp63.xml"/><Relationship Id="rId116" Type="http://schemas.openxmlformats.org/officeDocument/2006/relationships/ctrlProp" Target="../ctrlProps/ctrlProp112.xml"/><Relationship Id="rId20" Type="http://schemas.openxmlformats.org/officeDocument/2006/relationships/ctrlProp" Target="../ctrlProps/ctrlProp16.xml"/><Relationship Id="rId41" Type="http://schemas.openxmlformats.org/officeDocument/2006/relationships/ctrlProp" Target="../ctrlProps/ctrlProp37.xml"/><Relationship Id="rId62" Type="http://schemas.openxmlformats.org/officeDocument/2006/relationships/ctrlProp" Target="../ctrlProps/ctrlProp58.xml"/><Relationship Id="rId83" Type="http://schemas.openxmlformats.org/officeDocument/2006/relationships/ctrlProp" Target="../ctrlProps/ctrlProp79.xml"/><Relationship Id="rId88" Type="http://schemas.openxmlformats.org/officeDocument/2006/relationships/ctrlProp" Target="../ctrlProps/ctrlProp84.xml"/><Relationship Id="rId111" Type="http://schemas.openxmlformats.org/officeDocument/2006/relationships/ctrlProp" Target="../ctrlProps/ctrlProp107.xml"/><Relationship Id="rId15" Type="http://schemas.openxmlformats.org/officeDocument/2006/relationships/ctrlProp" Target="../ctrlProps/ctrlProp11.xml"/><Relationship Id="rId36" Type="http://schemas.openxmlformats.org/officeDocument/2006/relationships/ctrlProp" Target="../ctrlProps/ctrlProp32.xml"/><Relationship Id="rId57" Type="http://schemas.openxmlformats.org/officeDocument/2006/relationships/ctrlProp" Target="../ctrlProps/ctrlProp53.xml"/><Relationship Id="rId106" Type="http://schemas.openxmlformats.org/officeDocument/2006/relationships/ctrlProp" Target="../ctrlProps/ctrlProp10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5CB4F-86C2-4ACE-8E3B-A030B39C6655}">
  <sheetPr codeName="Sheet1">
    <tabColor theme="3" tint="0.79998168889431442"/>
    <pageSetUpPr autoPageBreaks="0" fitToPage="1"/>
  </sheetPr>
  <dimension ref="A1:AA305"/>
  <sheetViews>
    <sheetView showGridLines="0" showRowColHeaders="0" tabSelected="1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x14ac:dyDescent="0.25">
      <c r="W4" s="204"/>
    </row>
    <row r="5" spans="1:27" ht="24" customHeight="1" x14ac:dyDescent="0.25">
      <c r="C5" s="878" t="s">
        <v>733</v>
      </c>
      <c r="W5" s="204"/>
    </row>
    <row r="6" spans="1:27" ht="14.1" customHeight="1" thickBot="1" x14ac:dyDescent="0.3">
      <c r="W6" s="204"/>
    </row>
    <row r="7" spans="1:27" ht="14.1" customHeight="1" x14ac:dyDescent="0.25">
      <c r="B7" s="207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9"/>
      <c r="W7" s="204"/>
    </row>
    <row r="8" spans="1:27" ht="18" customHeight="1" x14ac:dyDescent="0.25">
      <c r="B8" s="210"/>
      <c r="C8" s="211" t="s">
        <v>809</v>
      </c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3"/>
      <c r="W8" s="204"/>
    </row>
    <row r="9" spans="1:27" ht="6" customHeight="1" x14ac:dyDescent="0.25">
      <c r="B9" s="210"/>
      <c r="C9" s="211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3"/>
      <c r="W9" s="204"/>
    </row>
    <row r="10" spans="1:27" ht="18" customHeight="1" x14ac:dyDescent="0.25">
      <c r="B10" s="210"/>
      <c r="C10" s="202" t="s">
        <v>417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3"/>
      <c r="W10" s="204"/>
    </row>
    <row r="11" spans="1:27" ht="18" customHeight="1" x14ac:dyDescent="0.25">
      <c r="B11" s="210"/>
      <c r="C11" s="202" t="s">
        <v>418</v>
      </c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3"/>
      <c r="W11" s="204"/>
      <c r="X11" s="501"/>
    </row>
    <row r="12" spans="1:27" ht="18" customHeight="1" x14ac:dyDescent="0.25">
      <c r="B12" s="210"/>
      <c r="C12" s="202" t="s">
        <v>271</v>
      </c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3"/>
      <c r="W12" s="204"/>
      <c r="X12" s="501"/>
    </row>
    <row r="13" spans="1:27" ht="18" customHeight="1" x14ac:dyDescent="0.25">
      <c r="B13" s="210"/>
      <c r="C13" s="212" t="s">
        <v>259</v>
      </c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3"/>
      <c r="W13" s="204"/>
      <c r="X13" s="501"/>
    </row>
    <row r="14" spans="1:27" ht="18" customHeight="1" x14ac:dyDescent="0.25">
      <c r="B14" s="210"/>
      <c r="C14" s="212" t="s">
        <v>260</v>
      </c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3"/>
      <c r="W14" s="204"/>
      <c r="X14" s="501"/>
    </row>
    <row r="15" spans="1:27" ht="18" customHeight="1" x14ac:dyDescent="0.25">
      <c r="B15" s="210"/>
      <c r="C15" s="202" t="s">
        <v>894</v>
      </c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3"/>
      <c r="W15" s="204"/>
      <c r="X15" s="501"/>
    </row>
    <row r="16" spans="1:27" ht="18" customHeight="1" x14ac:dyDescent="0.25">
      <c r="B16" s="210"/>
      <c r="C16" s="202" t="s">
        <v>895</v>
      </c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3"/>
      <c r="W16" s="204"/>
      <c r="X16" s="501"/>
    </row>
    <row r="17" spans="2:24" ht="14.1" customHeight="1" x14ac:dyDescent="0.25">
      <c r="B17" s="210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3"/>
      <c r="W17" s="204"/>
      <c r="X17" s="501"/>
    </row>
    <row r="18" spans="2:24" ht="18" customHeight="1" x14ac:dyDescent="0.25">
      <c r="B18" s="210"/>
      <c r="C18" s="211" t="s">
        <v>445</v>
      </c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3"/>
      <c r="W18" s="204"/>
      <c r="X18" s="501"/>
    </row>
    <row r="19" spans="2:24" ht="6" customHeight="1" x14ac:dyDescent="0.25">
      <c r="B19" s="210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3"/>
      <c r="W19" s="204"/>
      <c r="X19" s="501"/>
    </row>
    <row r="20" spans="2:24" ht="18" customHeight="1" x14ac:dyDescent="0.25">
      <c r="B20" s="210"/>
      <c r="C20" s="202" t="s">
        <v>790</v>
      </c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3"/>
      <c r="W20" s="204"/>
      <c r="X20" s="501"/>
    </row>
    <row r="21" spans="2:24" ht="18" customHeight="1" x14ac:dyDescent="0.25">
      <c r="B21" s="210"/>
      <c r="C21" s="212" t="s">
        <v>447</v>
      </c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3"/>
      <c r="W21" s="204"/>
      <c r="X21" s="501"/>
    </row>
    <row r="22" spans="2:24" ht="18" customHeight="1" x14ac:dyDescent="0.25">
      <c r="B22" s="210"/>
      <c r="C22" s="212" t="s">
        <v>448</v>
      </c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3"/>
      <c r="W22" s="204"/>
      <c r="X22" s="501"/>
    </row>
    <row r="23" spans="2:24" ht="14.1" customHeight="1" x14ac:dyDescent="0.25">
      <c r="B23" s="210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3"/>
      <c r="W23" s="204"/>
      <c r="X23" s="501"/>
    </row>
    <row r="24" spans="2:24" ht="18" customHeight="1" x14ac:dyDescent="0.25">
      <c r="B24" s="210"/>
      <c r="C24" s="211" t="s">
        <v>419</v>
      </c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3"/>
      <c r="W24" s="204"/>
      <c r="X24" s="501"/>
    </row>
    <row r="25" spans="2:24" ht="6" customHeight="1" x14ac:dyDescent="0.25">
      <c r="B25" s="210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3"/>
      <c r="W25" s="204"/>
      <c r="X25" s="501"/>
    </row>
    <row r="26" spans="2:24" ht="18" customHeight="1" x14ac:dyDescent="0.25">
      <c r="B26" s="210"/>
      <c r="C26" s="202" t="s">
        <v>490</v>
      </c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3"/>
      <c r="W26" s="204"/>
      <c r="X26" s="501"/>
    </row>
    <row r="27" spans="2:24" ht="6" customHeight="1" x14ac:dyDescent="0.25">
      <c r="B27" s="210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3"/>
      <c r="W27" s="204"/>
      <c r="X27" s="501"/>
    </row>
    <row r="28" spans="2:24" ht="18" customHeight="1" x14ac:dyDescent="0.25">
      <c r="B28" s="210"/>
      <c r="C28" s="202" t="s">
        <v>261</v>
      </c>
      <c r="D28" s="214"/>
      <c r="E28" s="202"/>
      <c r="F28" s="202"/>
      <c r="G28" s="202"/>
      <c r="H28" s="202"/>
      <c r="I28" s="202"/>
      <c r="J28" s="202"/>
      <c r="K28" s="202"/>
      <c r="L28" s="202"/>
      <c r="M28" s="202"/>
      <c r="N28" s="212"/>
      <c r="O28" s="212"/>
      <c r="P28" s="212"/>
      <c r="Q28" s="212"/>
      <c r="R28" s="212"/>
      <c r="S28" s="212"/>
      <c r="T28" s="212"/>
      <c r="U28" s="213"/>
      <c r="W28" s="204"/>
      <c r="X28" s="501"/>
    </row>
    <row r="29" spans="2:24" ht="18" customHeight="1" x14ac:dyDescent="0.25">
      <c r="B29" s="210"/>
      <c r="C29" s="202" t="s">
        <v>262</v>
      </c>
      <c r="D29" s="214"/>
      <c r="E29" s="202"/>
      <c r="F29" s="202"/>
      <c r="G29" s="202"/>
      <c r="H29" s="202"/>
      <c r="I29" s="202"/>
      <c r="J29" s="202"/>
      <c r="K29" s="202"/>
      <c r="L29" s="202"/>
      <c r="M29" s="202"/>
      <c r="N29" s="212"/>
      <c r="O29" s="212"/>
      <c r="P29" s="212"/>
      <c r="Q29" s="212"/>
      <c r="R29" s="212"/>
      <c r="S29" s="212"/>
      <c r="T29" s="212"/>
      <c r="U29" s="213"/>
      <c r="W29" s="204"/>
      <c r="X29" s="501"/>
    </row>
    <row r="30" spans="2:24" ht="18" customHeight="1" x14ac:dyDescent="0.25">
      <c r="B30" s="210"/>
      <c r="C30" s="202" t="s">
        <v>290</v>
      </c>
      <c r="D30" s="214"/>
      <c r="E30" s="202"/>
      <c r="F30" s="202"/>
      <c r="G30" s="202"/>
      <c r="H30" s="202"/>
      <c r="I30" s="202"/>
      <c r="J30" s="202"/>
      <c r="K30" s="202"/>
      <c r="L30" s="202"/>
      <c r="M30" s="202"/>
      <c r="N30" s="212"/>
      <c r="O30" s="212"/>
      <c r="P30" s="212"/>
      <c r="Q30" s="212"/>
      <c r="R30" s="212"/>
      <c r="S30" s="212"/>
      <c r="T30" s="212"/>
      <c r="U30" s="213"/>
      <c r="W30" s="204"/>
      <c r="X30" s="501"/>
    </row>
    <row r="31" spans="2:24" ht="18" customHeight="1" x14ac:dyDescent="0.25">
      <c r="B31" s="210"/>
      <c r="C31" s="202" t="s">
        <v>631</v>
      </c>
      <c r="D31" s="214"/>
      <c r="E31" s="202"/>
      <c r="F31" s="202"/>
      <c r="G31" s="202"/>
      <c r="H31" s="202"/>
      <c r="I31" s="202"/>
      <c r="J31" s="202"/>
      <c r="K31" s="202"/>
      <c r="L31" s="202"/>
      <c r="M31" s="202"/>
      <c r="N31" s="212"/>
      <c r="O31" s="212"/>
      <c r="P31" s="212"/>
      <c r="Q31" s="212"/>
      <c r="R31" s="212"/>
      <c r="S31" s="212"/>
      <c r="T31" s="212"/>
      <c r="U31" s="213"/>
      <c r="W31" s="204"/>
      <c r="X31" s="501"/>
    </row>
    <row r="32" spans="2:24" ht="18" customHeight="1" x14ac:dyDescent="0.25">
      <c r="B32" s="210"/>
      <c r="C32" s="202" t="s">
        <v>508</v>
      </c>
      <c r="D32" s="214"/>
      <c r="E32" s="202"/>
      <c r="F32" s="202"/>
      <c r="G32" s="202"/>
      <c r="H32" s="202"/>
      <c r="I32" s="202"/>
      <c r="J32" s="202"/>
      <c r="K32" s="202"/>
      <c r="L32" s="202"/>
      <c r="M32" s="202"/>
      <c r="N32" s="212"/>
      <c r="O32" s="212"/>
      <c r="P32" s="212"/>
      <c r="Q32" s="212"/>
      <c r="R32" s="212"/>
      <c r="S32" s="212"/>
      <c r="T32" s="212"/>
      <c r="U32" s="213"/>
      <c r="W32" s="204"/>
      <c r="X32" s="501"/>
    </row>
    <row r="33" spans="2:24" ht="18" customHeight="1" x14ac:dyDescent="0.25">
      <c r="B33" s="210"/>
      <c r="C33" s="202" t="s">
        <v>638</v>
      </c>
      <c r="D33" s="214"/>
      <c r="E33" s="202"/>
      <c r="F33" s="202"/>
      <c r="G33" s="202"/>
      <c r="H33" s="202"/>
      <c r="I33" s="202"/>
      <c r="J33" s="202"/>
      <c r="K33" s="202"/>
      <c r="L33" s="202"/>
      <c r="M33" s="202"/>
      <c r="N33" s="212"/>
      <c r="O33" s="212"/>
      <c r="P33" s="212"/>
      <c r="Q33" s="212"/>
      <c r="R33" s="212"/>
      <c r="S33" s="212"/>
      <c r="T33" s="212"/>
      <c r="U33" s="213"/>
      <c r="W33" s="204"/>
      <c r="X33" s="501"/>
    </row>
    <row r="34" spans="2:24" ht="6" customHeight="1" x14ac:dyDescent="0.25">
      <c r="B34" s="210"/>
      <c r="C34" s="202"/>
      <c r="D34" s="214"/>
      <c r="E34" s="202"/>
      <c r="F34" s="202"/>
      <c r="G34" s="202"/>
      <c r="H34" s="202"/>
      <c r="I34" s="202"/>
      <c r="J34" s="202"/>
      <c r="K34" s="202"/>
      <c r="L34" s="202"/>
      <c r="M34" s="202"/>
      <c r="N34" s="212"/>
      <c r="O34" s="212"/>
      <c r="P34" s="212"/>
      <c r="Q34" s="212"/>
      <c r="R34" s="212"/>
      <c r="S34" s="212"/>
      <c r="T34" s="212"/>
      <c r="U34" s="213"/>
      <c r="W34" s="204"/>
      <c r="X34" s="501"/>
    </row>
    <row r="35" spans="2:24" ht="18" customHeight="1" x14ac:dyDescent="0.25">
      <c r="B35" s="210"/>
      <c r="C35" s="202" t="s">
        <v>291</v>
      </c>
      <c r="D35" s="214"/>
      <c r="E35" s="202"/>
      <c r="F35" s="202"/>
      <c r="G35" s="202"/>
      <c r="H35" s="202"/>
      <c r="I35" s="202"/>
      <c r="J35" s="202"/>
      <c r="K35" s="202"/>
      <c r="L35" s="202"/>
      <c r="M35" s="202"/>
      <c r="N35" s="212"/>
      <c r="O35" s="212"/>
      <c r="P35" s="212"/>
      <c r="Q35" s="212"/>
      <c r="R35" s="212"/>
      <c r="S35" s="212"/>
      <c r="T35" s="212"/>
      <c r="U35" s="213"/>
      <c r="W35" s="204"/>
      <c r="X35" s="501"/>
    </row>
    <row r="36" spans="2:24" ht="6" customHeight="1" x14ac:dyDescent="0.25">
      <c r="B36" s="210"/>
      <c r="C36" s="202"/>
      <c r="D36" s="214"/>
      <c r="E36" s="202"/>
      <c r="F36" s="202"/>
      <c r="G36" s="202"/>
      <c r="H36" s="202"/>
      <c r="I36" s="202"/>
      <c r="J36" s="202"/>
      <c r="K36" s="202"/>
      <c r="L36" s="202"/>
      <c r="M36" s="202"/>
      <c r="N36" s="212"/>
      <c r="O36" s="212"/>
      <c r="P36" s="212"/>
      <c r="Q36" s="212"/>
      <c r="R36" s="212"/>
      <c r="S36" s="212"/>
      <c r="T36" s="212"/>
      <c r="U36" s="213"/>
      <c r="W36" s="204"/>
      <c r="X36" s="501"/>
    </row>
    <row r="37" spans="2:24" ht="18" customHeight="1" x14ac:dyDescent="0.25">
      <c r="B37" s="210"/>
      <c r="C37" s="202" t="s">
        <v>252</v>
      </c>
      <c r="D37" s="214"/>
      <c r="E37" s="202"/>
      <c r="F37" s="202"/>
      <c r="G37" s="202"/>
      <c r="H37" s="202"/>
      <c r="I37" s="202"/>
      <c r="J37" s="202"/>
      <c r="K37" s="202"/>
      <c r="L37" s="202"/>
      <c r="M37" s="202"/>
      <c r="N37" s="212"/>
      <c r="O37" s="212"/>
      <c r="P37" s="212"/>
      <c r="Q37" s="212"/>
      <c r="R37" s="212"/>
      <c r="S37" s="212"/>
      <c r="T37" s="212"/>
      <c r="U37" s="213"/>
      <c r="W37" s="204"/>
      <c r="X37" s="501"/>
    </row>
    <row r="38" spans="2:24" ht="14.1" customHeight="1" x14ac:dyDescent="0.25">
      <c r="B38" s="210"/>
      <c r="C38" s="202"/>
      <c r="D38" s="214"/>
      <c r="E38" s="202"/>
      <c r="F38" s="202"/>
      <c r="G38" s="202"/>
      <c r="H38" s="202"/>
      <c r="I38" s="202"/>
      <c r="J38" s="202"/>
      <c r="K38" s="202"/>
      <c r="L38" s="202"/>
      <c r="M38" s="202"/>
      <c r="N38" s="212"/>
      <c r="O38" s="212"/>
      <c r="P38" s="212"/>
      <c r="Q38" s="212"/>
      <c r="R38" s="212"/>
      <c r="S38" s="212"/>
      <c r="T38" s="212"/>
      <c r="U38" s="213"/>
      <c r="W38" s="204"/>
      <c r="X38" s="501"/>
    </row>
    <row r="39" spans="2:24" ht="18" customHeight="1" x14ac:dyDescent="0.25">
      <c r="B39" s="210"/>
      <c r="C39" s="202" t="s">
        <v>63</v>
      </c>
      <c r="D39" s="202"/>
      <c r="E39" s="202"/>
      <c r="F39" s="202"/>
      <c r="G39" s="202"/>
      <c r="H39" s="202"/>
      <c r="I39" s="202"/>
      <c r="J39" s="202"/>
      <c r="K39" s="1023" t="s">
        <v>18</v>
      </c>
      <c r="L39" s="1023"/>
      <c r="M39" s="215" t="s">
        <v>179</v>
      </c>
      <c r="N39" s="212"/>
      <c r="O39" s="212"/>
      <c r="P39" s="212"/>
      <c r="Q39" s="212"/>
      <c r="R39" s="212"/>
      <c r="S39" s="212"/>
      <c r="T39" s="212"/>
      <c r="U39" s="213"/>
      <c r="W39" s="204"/>
      <c r="X39" s="501"/>
    </row>
    <row r="40" spans="2:24" ht="18" customHeight="1" x14ac:dyDescent="0.25">
      <c r="B40" s="210"/>
      <c r="C40" s="202" t="s">
        <v>64</v>
      </c>
      <c r="D40" s="202"/>
      <c r="E40" s="202"/>
      <c r="F40" s="202"/>
      <c r="G40" s="202"/>
      <c r="H40" s="202"/>
      <c r="I40" s="202"/>
      <c r="J40" s="202"/>
      <c r="K40" s="1024" t="s">
        <v>18</v>
      </c>
      <c r="L40" s="1024"/>
      <c r="M40" s="216" t="s">
        <v>148</v>
      </c>
      <c r="N40" s="212"/>
      <c r="O40" s="212"/>
      <c r="P40" s="212"/>
      <c r="Q40" s="212"/>
      <c r="R40" s="212"/>
      <c r="S40" s="212"/>
      <c r="T40" s="212"/>
      <c r="U40" s="213"/>
      <c r="W40" s="204"/>
      <c r="X40" s="501"/>
    </row>
    <row r="41" spans="2:24" ht="18" customHeight="1" x14ac:dyDescent="0.25">
      <c r="B41" s="210"/>
      <c r="C41" s="202" t="s">
        <v>403</v>
      </c>
      <c r="D41" s="202"/>
      <c r="E41" s="202"/>
      <c r="F41" s="202"/>
      <c r="G41" s="202"/>
      <c r="H41" s="202"/>
      <c r="I41" s="202"/>
      <c r="J41" s="202"/>
      <c r="K41" s="1026" t="s">
        <v>18</v>
      </c>
      <c r="L41" s="1027"/>
      <c r="M41" s="217" t="s">
        <v>456</v>
      </c>
      <c r="N41" s="212"/>
      <c r="O41" s="212"/>
      <c r="P41" s="212"/>
      <c r="Q41" s="212"/>
      <c r="R41" s="212"/>
      <c r="S41" s="212"/>
      <c r="T41" s="212"/>
      <c r="U41" s="213"/>
      <c r="W41" s="204"/>
      <c r="X41" s="501"/>
    </row>
    <row r="42" spans="2:24" ht="18" customHeight="1" x14ac:dyDescent="0.25">
      <c r="B42" s="210"/>
      <c r="C42" s="202" t="s">
        <v>402</v>
      </c>
      <c r="D42" s="202"/>
      <c r="E42" s="202"/>
      <c r="F42" s="202"/>
      <c r="G42" s="202"/>
      <c r="H42" s="202"/>
      <c r="I42" s="202"/>
      <c r="J42" s="202"/>
      <c r="K42" s="1028" t="s">
        <v>18</v>
      </c>
      <c r="L42" s="1029"/>
      <c r="M42" s="217" t="s">
        <v>457</v>
      </c>
      <c r="N42" s="212"/>
      <c r="O42" s="212"/>
      <c r="P42" s="212"/>
      <c r="Q42" s="212"/>
      <c r="R42" s="212"/>
      <c r="S42" s="212"/>
      <c r="T42" s="212"/>
      <c r="U42" s="213"/>
      <c r="W42" s="204"/>
      <c r="X42" s="501"/>
    </row>
    <row r="43" spans="2:24" ht="18" customHeight="1" x14ac:dyDescent="0.25">
      <c r="B43" s="210"/>
      <c r="C43" s="202" t="s">
        <v>254</v>
      </c>
      <c r="D43" s="202"/>
      <c r="E43" s="202"/>
      <c r="F43" s="202"/>
      <c r="G43" s="202"/>
      <c r="H43" s="202"/>
      <c r="I43" s="202"/>
      <c r="J43" s="202"/>
      <c r="K43" s="1025" t="s">
        <v>18</v>
      </c>
      <c r="L43" s="1025"/>
      <c r="M43" s="215" t="s">
        <v>255</v>
      </c>
      <c r="N43" s="212"/>
      <c r="O43" s="212"/>
      <c r="P43" s="212"/>
      <c r="Q43" s="212"/>
      <c r="R43" s="212"/>
      <c r="S43" s="212"/>
      <c r="T43" s="212"/>
      <c r="U43" s="213"/>
      <c r="W43" s="204"/>
      <c r="X43" s="501"/>
    </row>
    <row r="44" spans="2:24" ht="18" customHeight="1" x14ac:dyDescent="0.25">
      <c r="B44" s="210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3"/>
      <c r="W44" s="204"/>
      <c r="X44" s="501"/>
    </row>
    <row r="45" spans="2:24" ht="18" customHeight="1" x14ac:dyDescent="0.25">
      <c r="B45" s="210"/>
      <c r="C45" s="211" t="s">
        <v>640</v>
      </c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3"/>
      <c r="W45" s="204"/>
      <c r="X45" s="501"/>
    </row>
    <row r="46" spans="2:24" ht="6" customHeight="1" x14ac:dyDescent="0.25">
      <c r="B46" s="210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3"/>
      <c r="W46" s="204"/>
      <c r="X46" s="501"/>
    </row>
    <row r="47" spans="2:24" ht="18" customHeight="1" x14ac:dyDescent="0.25">
      <c r="B47" s="210"/>
      <c r="C47" s="212" t="s">
        <v>639</v>
      </c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3"/>
      <c r="W47" s="204"/>
      <c r="X47" s="501"/>
    </row>
    <row r="48" spans="2:24" ht="6" customHeight="1" x14ac:dyDescent="0.25">
      <c r="B48" s="210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3"/>
      <c r="W48" s="204"/>
      <c r="X48" s="501"/>
    </row>
    <row r="49" spans="2:24" ht="18" customHeight="1" x14ac:dyDescent="0.25">
      <c r="B49" s="210"/>
      <c r="C49" s="202" t="s">
        <v>643</v>
      </c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3"/>
      <c r="W49" s="204"/>
      <c r="X49" s="501"/>
    </row>
    <row r="50" spans="2:24" ht="18" customHeight="1" x14ac:dyDescent="0.25">
      <c r="B50" s="210"/>
      <c r="C50" s="202" t="s">
        <v>641</v>
      </c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3"/>
      <c r="W50" s="204"/>
      <c r="X50" s="501"/>
    </row>
    <row r="51" spans="2:24" ht="18" customHeight="1" x14ac:dyDescent="0.25">
      <c r="B51" s="210"/>
      <c r="C51" s="202" t="s">
        <v>642</v>
      </c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3"/>
      <c r="W51" s="204"/>
      <c r="X51" s="501"/>
    </row>
    <row r="52" spans="2:24" ht="6" customHeight="1" x14ac:dyDescent="0.25">
      <c r="B52" s="210"/>
      <c r="C52" s="20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3"/>
      <c r="W52" s="204"/>
      <c r="X52" s="501"/>
    </row>
    <row r="53" spans="2:24" ht="18" customHeight="1" x14ac:dyDescent="0.25">
      <c r="B53" s="210"/>
      <c r="C53" s="212" t="s">
        <v>646</v>
      </c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3"/>
      <c r="W53" s="204"/>
      <c r="X53" s="501"/>
    </row>
    <row r="54" spans="2:24" ht="18" customHeight="1" x14ac:dyDescent="0.25">
      <c r="B54" s="210"/>
      <c r="C54" s="212" t="s">
        <v>681</v>
      </c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3"/>
      <c r="W54" s="204"/>
      <c r="X54" s="501"/>
    </row>
    <row r="55" spans="2:24" ht="6" customHeight="1" x14ac:dyDescent="0.25">
      <c r="B55" s="210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3"/>
      <c r="W55" s="204"/>
      <c r="X55" s="501"/>
    </row>
    <row r="56" spans="2:24" ht="18" customHeight="1" x14ac:dyDescent="0.25">
      <c r="B56" s="210"/>
      <c r="C56" s="683" t="s">
        <v>900</v>
      </c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2"/>
      <c r="T56" s="212"/>
      <c r="U56" s="213"/>
      <c r="W56" s="204"/>
      <c r="X56" s="501"/>
    </row>
    <row r="57" spans="2:24" ht="14.1" customHeight="1" x14ac:dyDescent="0.25">
      <c r="B57" s="210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3"/>
      <c r="W57" s="204"/>
      <c r="X57" s="501"/>
    </row>
    <row r="58" spans="2:24" ht="18" customHeight="1" x14ac:dyDescent="0.25">
      <c r="B58" s="210"/>
      <c r="C58" s="211" t="s">
        <v>416</v>
      </c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3"/>
      <c r="W58" s="204"/>
      <c r="X58" s="501"/>
    </row>
    <row r="59" spans="2:24" ht="6" customHeight="1" x14ac:dyDescent="0.25">
      <c r="B59" s="210"/>
      <c r="C59" s="211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3"/>
      <c r="W59" s="204"/>
      <c r="X59" s="501"/>
    </row>
    <row r="60" spans="2:24" ht="18" customHeight="1" x14ac:dyDescent="0.25">
      <c r="B60" s="210"/>
      <c r="C60" s="202" t="s">
        <v>315</v>
      </c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3"/>
      <c r="W60" s="204"/>
      <c r="X60" s="501"/>
    </row>
    <row r="61" spans="2:24" ht="18" customHeight="1" x14ac:dyDescent="0.25">
      <c r="B61" s="210"/>
      <c r="C61" s="202" t="s">
        <v>449</v>
      </c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3"/>
      <c r="W61" s="204"/>
      <c r="X61" s="501"/>
    </row>
    <row r="62" spans="2:24" ht="18" customHeight="1" x14ac:dyDescent="0.25">
      <c r="B62" s="210"/>
      <c r="C62" s="202" t="s">
        <v>420</v>
      </c>
      <c r="D62" s="212"/>
      <c r="E62" s="212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3"/>
      <c r="W62" s="204"/>
      <c r="X62" s="501"/>
    </row>
    <row r="63" spans="2:24" ht="14.1" customHeight="1" x14ac:dyDescent="0.25">
      <c r="B63" s="210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3"/>
      <c r="W63" s="204"/>
      <c r="X63" s="501"/>
    </row>
    <row r="64" spans="2:24" ht="18" customHeight="1" x14ac:dyDescent="0.25">
      <c r="B64" s="210"/>
      <c r="C64" s="211" t="s">
        <v>263</v>
      </c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3"/>
      <c r="W64" s="204"/>
      <c r="X64" s="501"/>
    </row>
    <row r="65" spans="2:24" ht="6" customHeight="1" x14ac:dyDescent="0.25">
      <c r="B65" s="210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3"/>
      <c r="W65" s="204"/>
      <c r="X65" s="501"/>
    </row>
    <row r="66" spans="2:24" ht="18" customHeight="1" x14ac:dyDescent="0.25">
      <c r="B66" s="210"/>
      <c r="C66" s="212" t="s">
        <v>923</v>
      </c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3"/>
      <c r="W66" s="204"/>
      <c r="X66" s="501"/>
    </row>
    <row r="67" spans="2:24" ht="18" customHeight="1" x14ac:dyDescent="0.25">
      <c r="B67" s="210"/>
      <c r="C67" s="202" t="s">
        <v>446</v>
      </c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3"/>
      <c r="W67" s="204"/>
      <c r="X67" s="501"/>
    </row>
    <row r="68" spans="2:24" ht="14.1" customHeight="1" x14ac:dyDescent="0.25">
      <c r="B68" s="218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20"/>
      <c r="W68" s="204"/>
      <c r="X68" s="501"/>
    </row>
    <row r="69" spans="2:24" ht="14.1" customHeight="1" x14ac:dyDescent="0.25">
      <c r="B69" s="210"/>
      <c r="C69" s="212"/>
      <c r="D69" s="212"/>
      <c r="E69" s="212"/>
      <c r="F69" s="212"/>
      <c r="G69" s="212"/>
      <c r="H69" s="212"/>
      <c r="I69" s="212"/>
      <c r="J69" s="212"/>
      <c r="K69" s="511"/>
      <c r="L69" s="510"/>
      <c r="M69" s="212"/>
      <c r="N69" s="212"/>
      <c r="O69" s="212"/>
      <c r="P69" s="212"/>
      <c r="Q69" s="212"/>
      <c r="R69" s="212"/>
      <c r="S69" s="212"/>
      <c r="T69" s="212"/>
      <c r="U69" s="213"/>
      <c r="W69" s="204"/>
      <c r="X69" s="501"/>
    </row>
    <row r="70" spans="2:24" ht="18" customHeight="1" x14ac:dyDescent="0.25">
      <c r="B70" s="210"/>
      <c r="C70" s="211" t="s">
        <v>253</v>
      </c>
      <c r="D70" s="212"/>
      <c r="E70" s="212"/>
      <c r="F70" s="212"/>
      <c r="G70" s="212"/>
      <c r="H70" s="212"/>
      <c r="I70" s="212"/>
      <c r="J70" s="212"/>
      <c r="K70" s="212"/>
      <c r="L70" s="507"/>
      <c r="M70" s="202"/>
      <c r="N70" s="211" t="s">
        <v>215</v>
      </c>
      <c r="O70" s="211"/>
      <c r="P70" s="212"/>
      <c r="Q70" s="212"/>
      <c r="R70" s="212"/>
      <c r="S70" s="212"/>
      <c r="T70" s="212"/>
      <c r="U70" s="213"/>
      <c r="W70" s="204"/>
      <c r="X70" s="501"/>
    </row>
    <row r="71" spans="2:24" ht="14.1" customHeight="1" x14ac:dyDescent="0.25">
      <c r="B71" s="210"/>
      <c r="C71" s="212"/>
      <c r="D71" s="212"/>
      <c r="E71" s="212"/>
      <c r="F71" s="212"/>
      <c r="G71" s="212"/>
      <c r="H71" s="212"/>
      <c r="I71" s="212"/>
      <c r="J71" s="212"/>
      <c r="K71" s="212"/>
      <c r="L71" s="221"/>
      <c r="M71" s="212"/>
      <c r="N71" s="212"/>
      <c r="O71" s="212"/>
      <c r="P71" s="212"/>
      <c r="Q71" s="212"/>
      <c r="R71" s="212"/>
      <c r="S71" s="212"/>
      <c r="T71" s="212"/>
      <c r="U71" s="213"/>
      <c r="W71" s="204"/>
      <c r="X71" s="501"/>
    </row>
    <row r="72" spans="2:24" ht="32.1" customHeight="1" x14ac:dyDescent="0.25">
      <c r="B72" s="210"/>
      <c r="C72" s="202"/>
      <c r="D72" s="212"/>
      <c r="E72" s="212"/>
      <c r="F72" s="212"/>
      <c r="G72" s="212"/>
      <c r="H72" s="212"/>
      <c r="I72" s="212"/>
      <c r="J72" s="212"/>
      <c r="K72" s="212"/>
      <c r="L72" s="221"/>
      <c r="M72" s="202"/>
      <c r="N72" s="1015" t="s">
        <v>503</v>
      </c>
      <c r="O72" s="1015"/>
      <c r="P72" s="1016"/>
      <c r="Q72" s="212"/>
      <c r="R72" s="212"/>
      <c r="S72" s="212"/>
      <c r="T72" s="212"/>
      <c r="U72" s="213"/>
      <c r="W72" s="204"/>
      <c r="X72" s="501"/>
    </row>
    <row r="73" spans="2:24" ht="18" customHeight="1" x14ac:dyDescent="0.25">
      <c r="B73" s="210"/>
      <c r="C73" s="202"/>
      <c r="D73" s="212"/>
      <c r="E73" s="212"/>
      <c r="F73" s="212"/>
      <c r="G73" s="212"/>
      <c r="H73" s="212"/>
      <c r="I73" s="212"/>
      <c r="J73" s="212"/>
      <c r="K73" s="212"/>
      <c r="L73" s="221"/>
      <c r="M73" s="202"/>
      <c r="N73" s="1017"/>
      <c r="O73" s="1017"/>
      <c r="P73" s="1017"/>
      <c r="Q73" s="518"/>
      <c r="R73" s="520" t="s">
        <v>504</v>
      </c>
      <c r="S73" s="522"/>
      <c r="T73" s="212"/>
      <c r="U73" s="213"/>
      <c r="W73" s="204"/>
      <c r="X73" s="501"/>
    </row>
    <row r="74" spans="2:24" ht="18" customHeight="1" x14ac:dyDescent="0.25">
      <c r="B74" s="210"/>
      <c r="C74" s="202"/>
      <c r="D74" s="212"/>
      <c r="E74" s="212"/>
      <c r="F74" s="212"/>
      <c r="G74" s="212"/>
      <c r="H74" s="212"/>
      <c r="I74" s="212"/>
      <c r="J74" s="212"/>
      <c r="K74" s="212"/>
      <c r="L74" s="221"/>
      <c r="M74" s="202"/>
      <c r="N74" s="516" t="s">
        <v>509</v>
      </c>
      <c r="O74" s="515"/>
      <c r="P74" s="517"/>
      <c r="Q74" s="519"/>
      <c r="R74" s="521" t="s">
        <v>289</v>
      </c>
      <c r="S74" s="202"/>
      <c r="T74" s="212"/>
      <c r="U74" s="213"/>
      <c r="W74" s="204"/>
      <c r="X74" s="501"/>
    </row>
    <row r="75" spans="2:24" ht="18" customHeight="1" x14ac:dyDescent="0.25">
      <c r="B75" s="210"/>
      <c r="C75" s="202"/>
      <c r="D75" s="212"/>
      <c r="E75" s="212"/>
      <c r="F75" s="523" t="s">
        <v>505</v>
      </c>
      <c r="G75" s="202"/>
      <c r="H75" s="202"/>
      <c r="I75" s="212"/>
      <c r="J75" s="212"/>
      <c r="K75" s="212"/>
      <c r="L75" s="508"/>
      <c r="M75" s="202"/>
      <c r="N75" s="1018" t="s">
        <v>644</v>
      </c>
      <c r="O75" s="1018"/>
      <c r="P75" s="1018"/>
      <c r="Q75" s="1018"/>
      <c r="R75" s="1018"/>
      <c r="S75" s="1018"/>
      <c r="T75" s="1018"/>
      <c r="U75" s="513"/>
      <c r="W75" s="204"/>
      <c r="X75" s="501"/>
    </row>
    <row r="76" spans="2:24" ht="18" customHeight="1" x14ac:dyDescent="0.25">
      <c r="B76" s="210"/>
      <c r="C76" s="202"/>
      <c r="D76" s="212"/>
      <c r="E76" s="212"/>
      <c r="F76" s="524" t="s">
        <v>506</v>
      </c>
      <c r="G76" s="202"/>
      <c r="H76" s="202"/>
      <c r="I76" s="212"/>
      <c r="J76" s="212"/>
      <c r="K76" s="212"/>
      <c r="L76" s="508"/>
      <c r="M76" s="202"/>
      <c r="N76" s="1018"/>
      <c r="O76" s="1018"/>
      <c r="P76" s="1018"/>
      <c r="Q76" s="1018"/>
      <c r="R76" s="1018"/>
      <c r="S76" s="1018"/>
      <c r="T76" s="1018"/>
      <c r="U76" s="513"/>
      <c r="W76" s="204"/>
      <c r="X76" s="501"/>
    </row>
    <row r="77" spans="2:24" ht="18" customHeight="1" x14ac:dyDescent="0.25">
      <c r="B77" s="210"/>
      <c r="C77" s="202"/>
      <c r="D77" s="212"/>
      <c r="E77" s="212"/>
      <c r="F77" s="525" t="s">
        <v>507</v>
      </c>
      <c r="G77" s="202"/>
      <c r="H77" s="202"/>
      <c r="I77" s="212"/>
      <c r="J77" s="212"/>
      <c r="K77" s="212"/>
      <c r="L77" s="509"/>
      <c r="M77" s="505"/>
      <c r="N77" s="1018"/>
      <c r="O77" s="1018"/>
      <c r="P77" s="1018"/>
      <c r="Q77" s="1018"/>
      <c r="R77" s="1018"/>
      <c r="S77" s="1018"/>
      <c r="T77" s="1018"/>
      <c r="U77" s="513"/>
      <c r="W77" s="204"/>
      <c r="X77" s="501"/>
    </row>
    <row r="78" spans="2:24" ht="14.1" customHeight="1" thickBot="1" x14ac:dyDescent="0.3">
      <c r="B78" s="222"/>
      <c r="C78" s="223"/>
      <c r="D78" s="223"/>
      <c r="E78" s="223"/>
      <c r="F78" s="223"/>
      <c r="G78" s="223"/>
      <c r="H78" s="223"/>
      <c r="I78" s="223"/>
      <c r="J78" s="223"/>
      <c r="K78" s="223"/>
      <c r="L78" s="512"/>
      <c r="M78" s="506"/>
      <c r="N78" s="1019"/>
      <c r="O78" s="1019"/>
      <c r="P78" s="1019"/>
      <c r="Q78" s="1019"/>
      <c r="R78" s="1019"/>
      <c r="S78" s="1019"/>
      <c r="T78" s="1019"/>
      <c r="U78" s="514"/>
      <c r="W78" s="204"/>
      <c r="X78" s="501"/>
    </row>
    <row r="79" spans="2:24" ht="18" customHeight="1" thickBot="1" x14ac:dyDescent="0.3">
      <c r="B79" s="225"/>
      <c r="C79" s="225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6"/>
      <c r="W79" s="204"/>
      <c r="X79" s="501"/>
    </row>
    <row r="80" spans="2:24" ht="32.1" customHeight="1" x14ac:dyDescent="0.25">
      <c r="B80" s="228"/>
      <c r="C80" s="258" t="s">
        <v>264</v>
      </c>
      <c r="D80" s="681"/>
      <c r="E80" s="681"/>
      <c r="F80" s="681"/>
      <c r="G80" s="681"/>
      <c r="H80" s="681"/>
      <c r="I80" s="681"/>
      <c r="J80" s="681"/>
      <c r="K80" s="681"/>
      <c r="L80" s="681"/>
      <c r="M80" s="681"/>
      <c r="N80" s="681"/>
      <c r="O80" s="681"/>
      <c r="P80" s="681"/>
      <c r="Q80" s="681"/>
      <c r="R80" s="681"/>
      <c r="S80" s="681"/>
      <c r="T80" s="681"/>
      <c r="U80" s="229"/>
      <c r="W80" s="204"/>
      <c r="X80" s="501"/>
    </row>
    <row r="81" spans="2:24" ht="3.95" customHeight="1" x14ac:dyDescent="0.25">
      <c r="B81" s="230"/>
      <c r="C81" s="231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3"/>
      <c r="W81" s="204"/>
      <c r="X81" s="501"/>
    </row>
    <row r="82" spans="2:24" ht="24" customHeight="1" x14ac:dyDescent="0.25">
      <c r="B82" s="272"/>
      <c r="C82" s="306" t="s">
        <v>209</v>
      </c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238"/>
      <c r="W82" s="204"/>
      <c r="X82" s="501"/>
    </row>
    <row r="83" spans="2:24" ht="14.1" customHeight="1" x14ac:dyDescent="0.25">
      <c r="B83" s="255"/>
      <c r="U83" s="227"/>
      <c r="W83" s="204"/>
      <c r="X83" s="501"/>
    </row>
    <row r="84" spans="2:24" ht="18" customHeight="1" x14ac:dyDescent="0.25">
      <c r="B84" s="255"/>
      <c r="C84" s="203" t="s">
        <v>749</v>
      </c>
      <c r="U84" s="227"/>
      <c r="W84" s="204"/>
      <c r="X84" s="501"/>
    </row>
    <row r="85" spans="2:24" ht="18" customHeight="1" x14ac:dyDescent="0.25">
      <c r="B85" s="255"/>
      <c r="C85" s="203" t="s">
        <v>287</v>
      </c>
      <c r="U85" s="227"/>
      <c r="W85" s="204"/>
      <c r="X85" s="501"/>
    </row>
    <row r="86" spans="2:24" ht="14.1" customHeight="1" x14ac:dyDescent="0.25">
      <c r="B86" s="255"/>
      <c r="U86" s="227"/>
      <c r="W86" s="204"/>
      <c r="X86" s="501"/>
    </row>
    <row r="87" spans="2:24" ht="18" customHeight="1" x14ac:dyDescent="0.25">
      <c r="B87" s="255"/>
      <c r="C87" s="203" t="s">
        <v>750</v>
      </c>
      <c r="U87" s="227"/>
      <c r="W87" s="204"/>
      <c r="X87" s="501"/>
    </row>
    <row r="88" spans="2:24" ht="18" customHeight="1" x14ac:dyDescent="0.25">
      <c r="B88" s="255"/>
      <c r="C88" s="203" t="s">
        <v>751</v>
      </c>
      <c r="U88" s="227"/>
      <c r="W88" s="204"/>
      <c r="X88" s="501"/>
    </row>
    <row r="89" spans="2:24" ht="18" customHeight="1" x14ac:dyDescent="0.25">
      <c r="B89" s="255"/>
      <c r="C89" s="203" t="s">
        <v>778</v>
      </c>
      <c r="U89" s="227"/>
      <c r="W89" s="204"/>
      <c r="X89" s="501"/>
    </row>
    <row r="90" spans="2:24" ht="14.1" customHeight="1" x14ac:dyDescent="0.25">
      <c r="B90" s="255"/>
      <c r="U90" s="227"/>
      <c r="W90" s="204"/>
      <c r="X90" s="501"/>
    </row>
    <row r="91" spans="2:24" ht="18" customHeight="1" x14ac:dyDescent="0.25">
      <c r="B91" s="255"/>
      <c r="C91" s="203" t="s">
        <v>265</v>
      </c>
      <c r="U91" s="227"/>
      <c r="W91" s="204"/>
      <c r="X91" s="501"/>
    </row>
    <row r="92" spans="2:24" ht="18" customHeight="1" x14ac:dyDescent="0.25">
      <c r="B92" s="255"/>
      <c r="C92" s="203" t="s">
        <v>752</v>
      </c>
      <c r="U92" s="227"/>
      <c r="W92" s="204"/>
      <c r="X92" s="501"/>
    </row>
    <row r="93" spans="2:24" ht="18" customHeight="1" x14ac:dyDescent="0.25">
      <c r="B93" s="255"/>
      <c r="C93" s="203" t="s">
        <v>266</v>
      </c>
      <c r="U93" s="227"/>
      <c r="W93" s="204"/>
      <c r="X93" s="501"/>
    </row>
    <row r="94" spans="2:24" ht="18" customHeight="1" x14ac:dyDescent="0.25">
      <c r="B94" s="255"/>
      <c r="U94" s="227"/>
      <c r="W94" s="204"/>
      <c r="X94" s="501"/>
    </row>
    <row r="95" spans="2:24" ht="18" customHeight="1" x14ac:dyDescent="0.25">
      <c r="B95" s="255"/>
      <c r="C95" s="682" t="s">
        <v>209</v>
      </c>
      <c r="U95" s="227"/>
      <c r="W95" s="204"/>
      <c r="X95" s="501"/>
    </row>
    <row r="96" spans="2:24" ht="18" customHeight="1" x14ac:dyDescent="0.25">
      <c r="B96" s="255"/>
      <c r="U96" s="227"/>
      <c r="W96" s="204"/>
      <c r="X96" s="501"/>
    </row>
    <row r="97" spans="2:24" ht="18" customHeight="1" x14ac:dyDescent="0.25">
      <c r="B97" s="255"/>
      <c r="U97" s="227"/>
      <c r="W97" s="204"/>
      <c r="X97" s="501"/>
    </row>
    <row r="98" spans="2:24" ht="18" customHeight="1" x14ac:dyDescent="0.25">
      <c r="B98" s="255"/>
      <c r="U98" s="227"/>
      <c r="W98" s="204"/>
      <c r="X98" s="501"/>
    </row>
    <row r="99" spans="2:24" ht="18" customHeight="1" x14ac:dyDescent="0.25">
      <c r="B99" s="255"/>
      <c r="U99" s="227"/>
      <c r="W99" s="204"/>
      <c r="X99" s="501"/>
    </row>
    <row r="100" spans="2:24" ht="18" customHeight="1" x14ac:dyDescent="0.25">
      <c r="B100" s="255"/>
      <c r="U100" s="227"/>
      <c r="W100" s="204"/>
      <c r="X100" s="501"/>
    </row>
    <row r="101" spans="2:24" ht="18" customHeight="1" x14ac:dyDescent="0.25">
      <c r="B101" s="255"/>
      <c r="U101" s="227"/>
      <c r="W101" s="204"/>
      <c r="X101" s="501"/>
    </row>
    <row r="102" spans="2:24" ht="18" customHeight="1" x14ac:dyDescent="0.25">
      <c r="B102" s="255"/>
      <c r="U102" s="227"/>
      <c r="W102" s="204"/>
      <c r="X102" s="501"/>
    </row>
    <row r="103" spans="2:24" ht="18" customHeight="1" x14ac:dyDescent="0.25">
      <c r="B103" s="255"/>
      <c r="U103" s="227"/>
      <c r="W103" s="204"/>
      <c r="X103" s="501"/>
    </row>
    <row r="104" spans="2:24" ht="18" customHeight="1" x14ac:dyDescent="0.25">
      <c r="B104" s="255"/>
      <c r="U104" s="227"/>
      <c r="W104" s="204"/>
      <c r="X104" s="501"/>
    </row>
    <row r="105" spans="2:24" ht="18" customHeight="1" x14ac:dyDescent="0.25">
      <c r="B105" s="255"/>
      <c r="U105" s="227"/>
      <c r="W105" s="204"/>
      <c r="X105" s="501"/>
    </row>
    <row r="106" spans="2:24" ht="18" customHeight="1" x14ac:dyDescent="0.25">
      <c r="B106" s="255"/>
      <c r="U106" s="227"/>
      <c r="W106" s="204"/>
      <c r="X106" s="501"/>
    </row>
    <row r="107" spans="2:24" ht="18" customHeight="1" x14ac:dyDescent="0.25">
      <c r="B107" s="255"/>
      <c r="U107" s="227"/>
      <c r="W107" s="204"/>
      <c r="X107" s="501"/>
    </row>
    <row r="108" spans="2:24" ht="18" customHeight="1" x14ac:dyDescent="0.25">
      <c r="B108" s="255"/>
      <c r="U108" s="227"/>
      <c r="W108" s="204"/>
      <c r="X108" s="501"/>
    </row>
    <row r="109" spans="2:24" ht="18" customHeight="1" x14ac:dyDescent="0.25">
      <c r="B109" s="255"/>
      <c r="U109" s="227"/>
      <c r="W109" s="204"/>
      <c r="X109" s="501"/>
    </row>
    <row r="110" spans="2:24" ht="18" customHeight="1" x14ac:dyDescent="0.25">
      <c r="B110" s="255"/>
      <c r="U110" s="227"/>
      <c r="W110" s="204"/>
      <c r="X110" s="501"/>
    </row>
    <row r="111" spans="2:24" ht="18" customHeight="1" x14ac:dyDescent="0.25">
      <c r="B111" s="255"/>
      <c r="U111" s="227"/>
      <c r="W111" s="204"/>
      <c r="X111" s="501"/>
    </row>
    <row r="112" spans="2:24" ht="18" customHeight="1" x14ac:dyDescent="0.25">
      <c r="B112" s="255"/>
      <c r="U112" s="227"/>
      <c r="W112" s="204"/>
      <c r="X112" s="501"/>
    </row>
    <row r="113" spans="2:24" ht="18" customHeight="1" x14ac:dyDescent="0.25">
      <c r="B113" s="255"/>
      <c r="U113" s="227"/>
      <c r="W113" s="204"/>
      <c r="X113" s="501"/>
    </row>
    <row r="114" spans="2:24" ht="18" customHeight="1" x14ac:dyDescent="0.25">
      <c r="B114" s="255"/>
      <c r="U114" s="227"/>
      <c r="W114" s="204"/>
      <c r="X114" s="501"/>
    </row>
    <row r="115" spans="2:24" ht="18" customHeight="1" x14ac:dyDescent="0.25">
      <c r="B115" s="255"/>
      <c r="U115" s="227"/>
      <c r="W115" s="204"/>
      <c r="X115" s="501"/>
    </row>
    <row r="116" spans="2:24" ht="18" customHeight="1" x14ac:dyDescent="0.25">
      <c r="B116" s="255"/>
      <c r="U116" s="227"/>
      <c r="W116" s="204"/>
      <c r="X116" s="501"/>
    </row>
    <row r="117" spans="2:24" ht="18" customHeight="1" x14ac:dyDescent="0.25">
      <c r="B117" s="255"/>
      <c r="U117" s="227"/>
      <c r="W117" s="204"/>
      <c r="X117" s="501"/>
    </row>
    <row r="118" spans="2:24" ht="18" customHeight="1" x14ac:dyDescent="0.25">
      <c r="B118" s="255"/>
      <c r="U118" s="227"/>
      <c r="W118" s="204"/>
      <c r="X118" s="501"/>
    </row>
    <row r="119" spans="2:24" ht="18" customHeight="1" x14ac:dyDescent="0.25">
      <c r="B119" s="255"/>
      <c r="U119" s="227"/>
      <c r="W119" s="204"/>
      <c r="X119" s="501"/>
    </row>
    <row r="120" spans="2:24" ht="18" customHeight="1" x14ac:dyDescent="0.25">
      <c r="B120" s="255"/>
      <c r="U120" s="227"/>
      <c r="W120" s="204"/>
      <c r="X120" s="501"/>
    </row>
    <row r="121" spans="2:24" ht="18" customHeight="1" x14ac:dyDescent="0.25">
      <c r="B121" s="255"/>
      <c r="U121" s="227"/>
      <c r="W121" s="204"/>
      <c r="X121" s="501"/>
    </row>
    <row r="122" spans="2:24" ht="18" customHeight="1" x14ac:dyDescent="0.25">
      <c r="B122" s="255"/>
      <c r="U122" s="227"/>
      <c r="W122" s="204"/>
      <c r="X122" s="501"/>
    </row>
    <row r="123" spans="2:24" ht="18" customHeight="1" x14ac:dyDescent="0.25">
      <c r="B123" s="255"/>
      <c r="U123" s="227"/>
      <c r="W123" s="204"/>
      <c r="X123" s="501"/>
    </row>
    <row r="124" spans="2:24" ht="18" customHeight="1" x14ac:dyDescent="0.25">
      <c r="B124" s="255"/>
      <c r="U124" s="227"/>
      <c r="W124" s="204"/>
      <c r="X124" s="501"/>
    </row>
    <row r="125" spans="2:24" ht="18" customHeight="1" x14ac:dyDescent="0.25">
      <c r="B125" s="255"/>
      <c r="U125" s="227"/>
      <c r="W125" s="204"/>
      <c r="X125" s="501"/>
    </row>
    <row r="126" spans="2:24" ht="18" customHeight="1" x14ac:dyDescent="0.25">
      <c r="B126" s="255"/>
      <c r="U126" s="227"/>
      <c r="W126" s="204"/>
      <c r="X126" s="501"/>
    </row>
    <row r="127" spans="2:24" ht="18" customHeight="1" x14ac:dyDescent="0.25">
      <c r="B127" s="255"/>
      <c r="U127" s="227"/>
      <c r="W127" s="204"/>
      <c r="X127" s="501"/>
    </row>
    <row r="128" spans="2:24" ht="18" customHeight="1" x14ac:dyDescent="0.25">
      <c r="B128" s="255"/>
      <c r="U128" s="227"/>
      <c r="W128" s="204"/>
      <c r="X128" s="501"/>
    </row>
    <row r="129" spans="2:24" ht="18" customHeight="1" x14ac:dyDescent="0.25">
      <c r="B129" s="255"/>
      <c r="U129" s="227"/>
      <c r="W129" s="204"/>
      <c r="X129" s="501"/>
    </row>
    <row r="130" spans="2:24" ht="18" customHeight="1" x14ac:dyDescent="0.25">
      <c r="B130" s="255"/>
      <c r="U130" s="227"/>
      <c r="W130" s="204"/>
      <c r="X130" s="501"/>
    </row>
    <row r="131" spans="2:24" ht="18" customHeight="1" x14ac:dyDescent="0.25">
      <c r="B131" s="255"/>
      <c r="U131" s="227"/>
      <c r="W131" s="204"/>
      <c r="X131" s="501"/>
    </row>
    <row r="132" spans="2:24" ht="18" customHeight="1" x14ac:dyDescent="0.25">
      <c r="B132" s="255"/>
      <c r="U132" s="227"/>
      <c r="W132" s="204"/>
      <c r="X132" s="501"/>
    </row>
    <row r="133" spans="2:24" ht="18" customHeight="1" x14ac:dyDescent="0.25">
      <c r="B133" s="255"/>
      <c r="U133" s="227"/>
      <c r="W133" s="204"/>
      <c r="X133" s="501"/>
    </row>
    <row r="134" spans="2:24" ht="18" customHeight="1" x14ac:dyDescent="0.25">
      <c r="B134" s="255"/>
      <c r="U134" s="227"/>
      <c r="W134" s="204"/>
      <c r="X134" s="501"/>
    </row>
    <row r="135" spans="2:24" ht="18" customHeight="1" x14ac:dyDescent="0.25">
      <c r="B135" s="255"/>
      <c r="U135" s="227"/>
      <c r="W135" s="204"/>
      <c r="X135" s="501"/>
    </row>
    <row r="136" spans="2:24" ht="18" customHeight="1" x14ac:dyDescent="0.25">
      <c r="B136" s="255"/>
      <c r="U136" s="227"/>
      <c r="W136" s="204"/>
      <c r="X136" s="501"/>
    </row>
    <row r="137" spans="2:24" ht="18" customHeight="1" x14ac:dyDescent="0.25">
      <c r="B137" s="255"/>
      <c r="U137" s="227"/>
      <c r="W137" s="204"/>
      <c r="X137" s="501"/>
    </row>
    <row r="138" spans="2:24" ht="18" customHeight="1" x14ac:dyDescent="0.25">
      <c r="B138" s="255"/>
      <c r="U138" s="227"/>
      <c r="W138" s="204"/>
      <c r="X138" s="501"/>
    </row>
    <row r="139" spans="2:24" ht="18" customHeight="1" x14ac:dyDescent="0.25">
      <c r="B139" s="255"/>
      <c r="U139" s="227"/>
      <c r="W139" s="204"/>
      <c r="X139" s="501"/>
    </row>
    <row r="140" spans="2:24" ht="18" customHeight="1" x14ac:dyDescent="0.25">
      <c r="B140" s="255"/>
      <c r="U140" s="227"/>
      <c r="W140" s="204"/>
      <c r="X140" s="501"/>
    </row>
    <row r="141" spans="2:24" ht="18" customHeight="1" x14ac:dyDescent="0.25">
      <c r="B141" s="255"/>
      <c r="U141" s="227"/>
      <c r="W141" s="204"/>
      <c r="X141" s="501"/>
    </row>
    <row r="142" spans="2:24" ht="18" customHeight="1" x14ac:dyDescent="0.25">
      <c r="B142" s="255"/>
      <c r="U142" s="227"/>
      <c r="W142" s="204"/>
      <c r="X142" s="501"/>
    </row>
    <row r="143" spans="2:24" ht="18" customHeight="1" x14ac:dyDescent="0.25">
      <c r="B143" s="255"/>
      <c r="U143" s="227"/>
      <c r="W143" s="204"/>
      <c r="X143" s="501"/>
    </row>
    <row r="144" spans="2:24" ht="18" customHeight="1" x14ac:dyDescent="0.25">
      <c r="B144" s="255"/>
      <c r="U144" s="227"/>
      <c r="W144" s="204"/>
      <c r="X144" s="501"/>
    </row>
    <row r="145" spans="2:24" ht="18" customHeight="1" x14ac:dyDescent="0.25">
      <c r="B145" s="255"/>
      <c r="U145" s="227"/>
      <c r="W145" s="204"/>
      <c r="X145" s="501"/>
    </row>
    <row r="146" spans="2:24" ht="18" customHeight="1" x14ac:dyDescent="0.25">
      <c r="B146" s="255"/>
      <c r="U146" s="227"/>
      <c r="W146" s="204"/>
      <c r="X146" s="501"/>
    </row>
    <row r="147" spans="2:24" ht="18" customHeight="1" x14ac:dyDescent="0.25">
      <c r="B147" s="255"/>
      <c r="U147" s="227"/>
      <c r="W147" s="204"/>
      <c r="X147" s="501"/>
    </row>
    <row r="148" spans="2:24" ht="18" customHeight="1" x14ac:dyDescent="0.25">
      <c r="B148" s="255"/>
      <c r="U148" s="227"/>
      <c r="W148" s="204"/>
      <c r="X148" s="501"/>
    </row>
    <row r="149" spans="2:24" ht="18" customHeight="1" x14ac:dyDescent="0.25">
      <c r="B149" s="255"/>
      <c r="U149" s="227"/>
      <c r="W149" s="204"/>
      <c r="X149" s="501"/>
    </row>
    <row r="150" spans="2:24" ht="18" customHeight="1" x14ac:dyDescent="0.25">
      <c r="B150" s="255"/>
      <c r="U150" s="227"/>
      <c r="W150" s="204"/>
      <c r="X150" s="501"/>
    </row>
    <row r="151" spans="2:24" ht="18" customHeight="1" x14ac:dyDescent="0.25">
      <c r="B151" s="255"/>
      <c r="U151" s="227"/>
      <c r="W151" s="204"/>
      <c r="X151" s="501"/>
    </row>
    <row r="152" spans="2:24" ht="18" customHeight="1" x14ac:dyDescent="0.25">
      <c r="B152" s="255"/>
      <c r="U152" s="227"/>
      <c r="W152" s="204"/>
      <c r="X152" s="501"/>
    </row>
    <row r="153" spans="2:24" ht="18" customHeight="1" x14ac:dyDescent="0.25">
      <c r="B153" s="255"/>
      <c r="U153" s="227"/>
      <c r="W153" s="204"/>
      <c r="X153" s="501"/>
    </row>
    <row r="154" spans="2:24" ht="18" customHeight="1" x14ac:dyDescent="0.25">
      <c r="B154" s="255"/>
      <c r="U154" s="227"/>
      <c r="W154" s="204"/>
      <c r="X154" s="501"/>
    </row>
    <row r="155" spans="2:24" ht="18" customHeight="1" x14ac:dyDescent="0.25">
      <c r="B155" s="236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9"/>
      <c r="W155" s="204"/>
      <c r="X155" s="501"/>
    </row>
    <row r="156" spans="2:24" ht="24" customHeight="1" x14ac:dyDescent="0.25">
      <c r="B156" s="272"/>
      <c r="C156" s="306" t="s">
        <v>208</v>
      </c>
      <c r="D156" s="307"/>
      <c r="E156" s="307"/>
      <c r="F156" s="307"/>
      <c r="G156" s="307"/>
      <c r="H156" s="307"/>
      <c r="I156" s="307"/>
      <c r="J156" s="307"/>
      <c r="K156" s="307"/>
      <c r="L156" s="307"/>
      <c r="M156" s="307"/>
      <c r="N156" s="307"/>
      <c r="O156" s="307"/>
      <c r="P156" s="307"/>
      <c r="Q156" s="307"/>
      <c r="R156" s="307"/>
      <c r="S156" s="307"/>
      <c r="T156" s="307"/>
      <c r="U156" s="238"/>
      <c r="W156" s="204"/>
      <c r="X156" s="501"/>
    </row>
    <row r="157" spans="2:24" ht="14.1" customHeight="1" x14ac:dyDescent="0.25">
      <c r="B157" s="255"/>
      <c r="U157" s="227"/>
      <c r="W157" s="204"/>
      <c r="X157" s="501"/>
    </row>
    <row r="158" spans="2:24" ht="18" customHeight="1" x14ac:dyDescent="0.25">
      <c r="B158" s="255"/>
      <c r="C158" s="203" t="s">
        <v>269</v>
      </c>
      <c r="U158" s="227"/>
      <c r="W158" s="204"/>
      <c r="X158" s="501"/>
    </row>
    <row r="159" spans="2:24" ht="18" customHeight="1" x14ac:dyDescent="0.25">
      <c r="B159" s="255"/>
      <c r="C159" s="203" t="s">
        <v>275</v>
      </c>
      <c r="U159" s="227"/>
      <c r="W159" s="204"/>
      <c r="X159" s="501"/>
    </row>
    <row r="160" spans="2:24" ht="18" customHeight="1" x14ac:dyDescent="0.25">
      <c r="B160" s="255"/>
      <c r="C160" s="203" t="s">
        <v>270</v>
      </c>
      <c r="U160" s="227"/>
      <c r="W160" s="204"/>
      <c r="X160" s="501"/>
    </row>
    <row r="161" spans="2:24" ht="18" customHeight="1" x14ac:dyDescent="0.25">
      <c r="B161" s="255"/>
      <c r="U161" s="227"/>
      <c r="W161" s="204"/>
      <c r="X161" s="501"/>
    </row>
    <row r="162" spans="2:24" ht="18" customHeight="1" x14ac:dyDescent="0.25">
      <c r="B162" s="255"/>
      <c r="C162" s="682" t="s">
        <v>208</v>
      </c>
      <c r="U162" s="227"/>
      <c r="W162" s="204"/>
      <c r="X162" s="501"/>
    </row>
    <row r="163" spans="2:24" ht="18" customHeight="1" x14ac:dyDescent="0.25">
      <c r="B163" s="255"/>
      <c r="U163" s="227"/>
      <c r="W163" s="204"/>
      <c r="X163" s="501"/>
    </row>
    <row r="164" spans="2:24" ht="18" customHeight="1" x14ac:dyDescent="0.25">
      <c r="B164" s="255"/>
      <c r="U164" s="227"/>
      <c r="W164" s="204"/>
      <c r="X164" s="501"/>
    </row>
    <row r="165" spans="2:24" ht="18" customHeight="1" x14ac:dyDescent="0.25">
      <c r="B165" s="255"/>
      <c r="U165" s="227"/>
      <c r="W165" s="204"/>
      <c r="X165" s="501"/>
    </row>
    <row r="166" spans="2:24" ht="18" customHeight="1" x14ac:dyDescent="0.25">
      <c r="B166" s="255"/>
      <c r="U166" s="227"/>
      <c r="W166" s="204"/>
      <c r="X166" s="501"/>
    </row>
    <row r="167" spans="2:24" ht="18" customHeight="1" x14ac:dyDescent="0.25">
      <c r="B167" s="255"/>
      <c r="U167" s="227"/>
      <c r="W167" s="204"/>
      <c r="X167" s="501"/>
    </row>
    <row r="168" spans="2:24" ht="18" customHeight="1" x14ac:dyDescent="0.25">
      <c r="B168" s="255"/>
      <c r="U168" s="227"/>
      <c r="W168" s="204"/>
      <c r="X168" s="501"/>
    </row>
    <row r="169" spans="2:24" ht="18" customHeight="1" x14ac:dyDescent="0.25">
      <c r="B169" s="255"/>
      <c r="U169" s="227"/>
      <c r="W169" s="204"/>
      <c r="X169" s="501"/>
    </row>
    <row r="170" spans="2:24" ht="18" customHeight="1" x14ac:dyDescent="0.25">
      <c r="B170" s="255"/>
      <c r="U170" s="227"/>
      <c r="W170" s="204"/>
      <c r="X170" s="501"/>
    </row>
    <row r="171" spans="2:24" ht="18" customHeight="1" x14ac:dyDescent="0.25">
      <c r="B171" s="255"/>
      <c r="U171" s="227"/>
      <c r="W171" s="204"/>
      <c r="X171" s="501"/>
    </row>
    <row r="172" spans="2:24" ht="18" customHeight="1" x14ac:dyDescent="0.25">
      <c r="B172" s="255"/>
      <c r="U172" s="227"/>
      <c r="W172" s="204"/>
      <c r="X172" s="501"/>
    </row>
    <row r="173" spans="2:24" ht="18" customHeight="1" x14ac:dyDescent="0.25">
      <c r="B173" s="255"/>
      <c r="U173" s="227"/>
      <c r="W173" s="204"/>
      <c r="X173" s="501"/>
    </row>
    <row r="174" spans="2:24" ht="18" customHeight="1" x14ac:dyDescent="0.25">
      <c r="B174" s="255"/>
      <c r="U174" s="227"/>
      <c r="W174" s="204"/>
      <c r="X174" s="501"/>
    </row>
    <row r="175" spans="2:24" ht="18" customHeight="1" x14ac:dyDescent="0.25">
      <c r="B175" s="255"/>
      <c r="U175" s="227"/>
      <c r="W175" s="204"/>
      <c r="X175" s="501"/>
    </row>
    <row r="176" spans="2:24" ht="18" customHeight="1" x14ac:dyDescent="0.25">
      <c r="B176" s="255"/>
      <c r="U176" s="227"/>
      <c r="W176" s="204"/>
      <c r="X176" s="501"/>
    </row>
    <row r="177" spans="2:24" ht="18" customHeight="1" x14ac:dyDescent="0.25">
      <c r="B177" s="255"/>
      <c r="U177" s="227"/>
      <c r="W177" s="204"/>
      <c r="X177" s="501"/>
    </row>
    <row r="178" spans="2:24" ht="18" customHeight="1" x14ac:dyDescent="0.25">
      <c r="B178" s="255"/>
      <c r="U178" s="227"/>
      <c r="W178" s="204"/>
      <c r="X178" s="501"/>
    </row>
    <row r="179" spans="2:24" ht="18" customHeight="1" x14ac:dyDescent="0.25">
      <c r="B179" s="255"/>
      <c r="U179" s="227"/>
      <c r="W179" s="204"/>
      <c r="X179" s="501"/>
    </row>
    <row r="180" spans="2:24" ht="18" customHeight="1" x14ac:dyDescent="0.25">
      <c r="B180" s="255"/>
      <c r="U180" s="227"/>
      <c r="W180" s="204"/>
      <c r="X180" s="501"/>
    </row>
    <row r="181" spans="2:24" ht="18" customHeight="1" x14ac:dyDescent="0.25">
      <c r="B181" s="255"/>
      <c r="U181" s="227"/>
      <c r="W181" s="204"/>
      <c r="X181" s="501"/>
    </row>
    <row r="182" spans="2:24" ht="18" customHeight="1" x14ac:dyDescent="0.25">
      <c r="B182" s="255"/>
      <c r="U182" s="227"/>
      <c r="W182" s="204"/>
      <c r="X182" s="501"/>
    </row>
    <row r="183" spans="2:24" ht="18" customHeight="1" x14ac:dyDescent="0.25">
      <c r="B183" s="255"/>
      <c r="U183" s="227"/>
      <c r="W183" s="204"/>
      <c r="X183" s="501"/>
    </row>
    <row r="184" spans="2:24" ht="18" customHeight="1" x14ac:dyDescent="0.25">
      <c r="B184" s="255"/>
      <c r="U184" s="227"/>
      <c r="W184" s="204"/>
      <c r="X184" s="501"/>
    </row>
    <row r="185" spans="2:24" ht="18" customHeight="1" x14ac:dyDescent="0.25">
      <c r="B185" s="255"/>
      <c r="U185" s="227"/>
      <c r="W185" s="204"/>
      <c r="X185" s="501"/>
    </row>
    <row r="186" spans="2:24" ht="18" customHeight="1" x14ac:dyDescent="0.25">
      <c r="B186" s="255"/>
      <c r="U186" s="227"/>
      <c r="W186" s="204"/>
      <c r="X186" s="501"/>
    </row>
    <row r="187" spans="2:24" ht="18" customHeight="1" x14ac:dyDescent="0.25">
      <c r="B187" s="255"/>
      <c r="U187" s="227"/>
      <c r="W187" s="204"/>
      <c r="X187" s="501"/>
    </row>
    <row r="188" spans="2:24" ht="18" customHeight="1" x14ac:dyDescent="0.25">
      <c r="B188" s="236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9"/>
      <c r="W188" s="204"/>
      <c r="X188" s="501"/>
    </row>
    <row r="189" spans="2:24" ht="24" customHeight="1" x14ac:dyDescent="0.25">
      <c r="B189" s="272"/>
      <c r="C189" s="306" t="s">
        <v>210</v>
      </c>
      <c r="D189" s="307"/>
      <c r="E189" s="307"/>
      <c r="F189" s="307"/>
      <c r="G189" s="307"/>
      <c r="H189" s="307"/>
      <c r="I189" s="307"/>
      <c r="J189" s="307"/>
      <c r="K189" s="307"/>
      <c r="L189" s="307"/>
      <c r="M189" s="307"/>
      <c r="N189" s="307"/>
      <c r="O189" s="307"/>
      <c r="P189" s="307"/>
      <c r="Q189" s="307"/>
      <c r="R189" s="307"/>
      <c r="S189" s="307"/>
      <c r="T189" s="307"/>
      <c r="U189" s="238"/>
      <c r="W189" s="204"/>
      <c r="X189" s="501"/>
    </row>
    <row r="190" spans="2:24" ht="18" customHeight="1" x14ac:dyDescent="0.25">
      <c r="B190" s="255"/>
      <c r="U190" s="227"/>
      <c r="W190" s="204"/>
      <c r="X190" s="501"/>
    </row>
    <row r="191" spans="2:24" ht="18" customHeight="1" x14ac:dyDescent="0.25">
      <c r="B191" s="255"/>
      <c r="U191" s="227"/>
      <c r="W191" s="204"/>
      <c r="X191" s="501"/>
    </row>
    <row r="192" spans="2:24" ht="18" customHeight="1" x14ac:dyDescent="0.25">
      <c r="B192" s="255"/>
      <c r="U192" s="227"/>
      <c r="W192" s="204"/>
      <c r="X192" s="501"/>
    </row>
    <row r="193" spans="2:24" ht="18" customHeight="1" x14ac:dyDescent="0.25">
      <c r="B193" s="255"/>
      <c r="U193" s="227"/>
      <c r="W193" s="204"/>
      <c r="X193" s="501"/>
    </row>
    <row r="194" spans="2:24" ht="18" customHeight="1" x14ac:dyDescent="0.25">
      <c r="B194" s="255"/>
      <c r="U194" s="227"/>
      <c r="W194" s="204"/>
      <c r="X194" s="501"/>
    </row>
    <row r="195" spans="2:24" ht="18" customHeight="1" x14ac:dyDescent="0.25">
      <c r="B195" s="255"/>
      <c r="U195" s="227"/>
      <c r="W195" s="204"/>
      <c r="X195" s="501"/>
    </row>
    <row r="196" spans="2:24" ht="18" customHeight="1" x14ac:dyDescent="0.25">
      <c r="B196" s="255"/>
      <c r="U196" s="227"/>
      <c r="W196" s="204"/>
      <c r="X196" s="501"/>
    </row>
    <row r="197" spans="2:24" ht="18" customHeight="1" x14ac:dyDescent="0.25">
      <c r="B197" s="255"/>
      <c r="U197" s="227"/>
      <c r="W197" s="204"/>
      <c r="X197" s="501"/>
    </row>
    <row r="198" spans="2:24" ht="18" customHeight="1" x14ac:dyDescent="0.25">
      <c r="B198" s="255"/>
      <c r="U198" s="227"/>
      <c r="W198" s="204"/>
      <c r="X198" s="501"/>
    </row>
    <row r="199" spans="2:24" ht="18" customHeight="1" x14ac:dyDescent="0.25">
      <c r="B199" s="255"/>
      <c r="U199" s="227"/>
      <c r="W199" s="204"/>
      <c r="X199" s="501"/>
    </row>
    <row r="200" spans="2:24" ht="18" customHeight="1" x14ac:dyDescent="0.25">
      <c r="B200" s="255"/>
      <c r="U200" s="227"/>
      <c r="W200" s="204"/>
      <c r="X200" s="501"/>
    </row>
    <row r="201" spans="2:24" ht="18" customHeight="1" x14ac:dyDescent="0.25">
      <c r="B201" s="255"/>
      <c r="U201" s="227"/>
      <c r="W201" s="204"/>
      <c r="X201" s="501"/>
    </row>
    <row r="202" spans="2:24" ht="18" customHeight="1" x14ac:dyDescent="0.25">
      <c r="B202" s="255"/>
      <c r="U202" s="227"/>
      <c r="W202" s="204"/>
      <c r="X202" s="501"/>
    </row>
    <row r="203" spans="2:24" ht="18" customHeight="1" x14ac:dyDescent="0.25">
      <c r="B203" s="255"/>
      <c r="U203" s="227"/>
      <c r="W203" s="204"/>
      <c r="X203" s="501"/>
    </row>
    <row r="204" spans="2:24" ht="18" customHeight="1" x14ac:dyDescent="0.25">
      <c r="B204" s="255"/>
      <c r="U204" s="227"/>
      <c r="W204" s="204"/>
      <c r="X204" s="501"/>
    </row>
    <row r="205" spans="2:24" ht="18" customHeight="1" x14ac:dyDescent="0.25">
      <c r="B205" s="255"/>
      <c r="U205" s="227"/>
      <c r="W205" s="204"/>
      <c r="X205" s="501"/>
    </row>
    <row r="206" spans="2:24" ht="18" customHeight="1" x14ac:dyDescent="0.25">
      <c r="B206" s="255"/>
      <c r="U206" s="227"/>
      <c r="W206" s="204"/>
      <c r="X206" s="501"/>
    </row>
    <row r="207" spans="2:24" ht="18" customHeight="1" x14ac:dyDescent="0.25">
      <c r="B207" s="255"/>
      <c r="U207" s="227"/>
      <c r="W207" s="204"/>
      <c r="X207" s="501"/>
    </row>
    <row r="208" spans="2:24" ht="18" customHeight="1" x14ac:dyDescent="0.25">
      <c r="B208" s="255"/>
      <c r="U208" s="227"/>
      <c r="W208" s="204"/>
      <c r="X208" s="501"/>
    </row>
    <row r="209" spans="2:24" ht="18" customHeight="1" x14ac:dyDescent="0.25">
      <c r="B209" s="255"/>
      <c r="U209" s="227"/>
      <c r="W209" s="204"/>
      <c r="X209" s="501"/>
    </row>
    <row r="210" spans="2:24" ht="18" customHeight="1" x14ac:dyDescent="0.25">
      <c r="B210" s="255"/>
      <c r="U210" s="227"/>
      <c r="W210" s="204"/>
      <c r="X210" s="501"/>
    </row>
    <row r="211" spans="2:24" ht="18" customHeight="1" x14ac:dyDescent="0.25">
      <c r="B211" s="255"/>
      <c r="U211" s="227"/>
      <c r="W211" s="204"/>
      <c r="X211" s="501"/>
    </row>
    <row r="212" spans="2:24" ht="18" customHeight="1" x14ac:dyDescent="0.25">
      <c r="B212" s="255"/>
      <c r="U212" s="227"/>
      <c r="W212" s="204"/>
      <c r="X212" s="501"/>
    </row>
    <row r="213" spans="2:24" ht="18" customHeight="1" x14ac:dyDescent="0.25">
      <c r="B213" s="255"/>
      <c r="U213" s="227"/>
      <c r="W213" s="204"/>
      <c r="X213" s="501"/>
    </row>
    <row r="214" spans="2:24" ht="18" customHeight="1" x14ac:dyDescent="0.25">
      <c r="B214" s="255"/>
      <c r="U214" s="227"/>
      <c r="W214" s="204"/>
      <c r="X214" s="501"/>
    </row>
    <row r="215" spans="2:24" ht="18" customHeight="1" x14ac:dyDescent="0.25">
      <c r="B215" s="255"/>
      <c r="U215" s="227"/>
      <c r="W215" s="204"/>
      <c r="X215" s="501"/>
    </row>
    <row r="216" spans="2:24" ht="18" customHeight="1" x14ac:dyDescent="0.25">
      <c r="B216" s="255"/>
      <c r="U216" s="227"/>
      <c r="W216" s="204"/>
      <c r="X216" s="501"/>
    </row>
    <row r="217" spans="2:24" ht="18" customHeight="1" x14ac:dyDescent="0.25">
      <c r="B217" s="255"/>
      <c r="U217" s="227"/>
      <c r="W217" s="204"/>
      <c r="X217" s="501"/>
    </row>
    <row r="218" spans="2:24" ht="18" customHeight="1" x14ac:dyDescent="0.25">
      <c r="B218" s="255"/>
      <c r="U218" s="227"/>
      <c r="W218" s="204"/>
      <c r="X218" s="501"/>
    </row>
    <row r="219" spans="2:24" ht="18" customHeight="1" x14ac:dyDescent="0.25">
      <c r="B219" s="255"/>
      <c r="U219" s="227"/>
      <c r="W219" s="204"/>
      <c r="X219" s="501"/>
    </row>
    <row r="220" spans="2:24" ht="18" customHeight="1" x14ac:dyDescent="0.25">
      <c r="B220" s="255"/>
      <c r="U220" s="227"/>
      <c r="W220" s="204"/>
      <c r="X220" s="501"/>
    </row>
    <row r="221" spans="2:24" ht="18" customHeight="1" x14ac:dyDescent="0.25">
      <c r="B221" s="255"/>
      <c r="U221" s="227"/>
      <c r="W221" s="204"/>
      <c r="X221" s="501"/>
    </row>
    <row r="222" spans="2:24" ht="18" customHeight="1" x14ac:dyDescent="0.25">
      <c r="B222" s="255"/>
      <c r="U222" s="227"/>
      <c r="W222" s="204"/>
      <c r="X222" s="501"/>
    </row>
    <row r="223" spans="2:24" ht="18" customHeight="1" x14ac:dyDescent="0.25">
      <c r="B223" s="255"/>
      <c r="U223" s="227"/>
      <c r="W223" s="204"/>
      <c r="X223" s="501"/>
    </row>
    <row r="224" spans="2:24" ht="18" customHeight="1" x14ac:dyDescent="0.25">
      <c r="B224" s="255"/>
      <c r="U224" s="227"/>
      <c r="W224" s="204"/>
      <c r="X224" s="501"/>
    </row>
    <row r="225" spans="2:24" ht="18" customHeight="1" x14ac:dyDescent="0.25">
      <c r="B225" s="255"/>
      <c r="U225" s="227"/>
      <c r="W225" s="204"/>
      <c r="X225" s="501"/>
    </row>
    <row r="226" spans="2:24" ht="18" customHeight="1" x14ac:dyDescent="0.25">
      <c r="B226" s="255"/>
      <c r="U226" s="227"/>
      <c r="W226" s="204"/>
      <c r="X226" s="501"/>
    </row>
    <row r="227" spans="2:24" ht="18" customHeight="1" x14ac:dyDescent="0.25">
      <c r="B227" s="255"/>
      <c r="U227" s="227"/>
      <c r="W227" s="204"/>
      <c r="X227" s="501"/>
    </row>
    <row r="228" spans="2:24" ht="18" customHeight="1" x14ac:dyDescent="0.25">
      <c r="B228" s="255"/>
      <c r="U228" s="227"/>
      <c r="W228" s="204"/>
      <c r="X228" s="501"/>
    </row>
    <row r="229" spans="2:24" ht="18" customHeight="1" x14ac:dyDescent="0.25">
      <c r="B229" s="255"/>
      <c r="U229" s="227"/>
      <c r="W229" s="204"/>
      <c r="X229" s="501"/>
    </row>
    <row r="230" spans="2:24" ht="18" customHeight="1" x14ac:dyDescent="0.25">
      <c r="B230" s="255"/>
      <c r="U230" s="227"/>
      <c r="W230" s="204"/>
      <c r="X230" s="501"/>
    </row>
    <row r="231" spans="2:24" ht="18" customHeight="1" x14ac:dyDescent="0.25">
      <c r="B231" s="255"/>
      <c r="U231" s="227"/>
      <c r="W231" s="204"/>
      <c r="X231" s="501"/>
    </row>
    <row r="232" spans="2:24" ht="18" customHeight="1" x14ac:dyDescent="0.25">
      <c r="B232" s="255"/>
      <c r="U232" s="227"/>
      <c r="W232" s="204"/>
      <c r="X232" s="501"/>
    </row>
    <row r="233" spans="2:24" ht="18" customHeight="1" x14ac:dyDescent="0.25">
      <c r="B233" s="255"/>
      <c r="U233" s="227"/>
      <c r="W233" s="204"/>
      <c r="X233" s="501"/>
    </row>
    <row r="234" spans="2:24" ht="18" customHeight="1" x14ac:dyDescent="0.25">
      <c r="B234" s="255"/>
      <c r="U234" s="227"/>
      <c r="W234" s="204"/>
      <c r="X234" s="501"/>
    </row>
    <row r="235" spans="2:24" ht="18" customHeight="1" x14ac:dyDescent="0.25">
      <c r="B235" s="255"/>
      <c r="U235" s="227"/>
      <c r="W235" s="204"/>
      <c r="X235" s="501"/>
    </row>
    <row r="236" spans="2:24" ht="18" customHeight="1" x14ac:dyDescent="0.25">
      <c r="B236" s="255"/>
      <c r="U236" s="227"/>
      <c r="W236" s="204"/>
      <c r="X236" s="501"/>
    </row>
    <row r="237" spans="2:24" ht="18" customHeight="1" x14ac:dyDescent="0.25">
      <c r="B237" s="255"/>
      <c r="U237" s="227"/>
      <c r="W237" s="204"/>
      <c r="X237" s="501"/>
    </row>
    <row r="238" spans="2:24" ht="18" customHeight="1" x14ac:dyDescent="0.25">
      <c r="B238" s="255"/>
      <c r="U238" s="227"/>
      <c r="W238" s="204"/>
      <c r="X238" s="501"/>
    </row>
    <row r="239" spans="2:24" ht="18" customHeight="1" x14ac:dyDescent="0.25">
      <c r="B239" s="255"/>
      <c r="U239" s="227"/>
      <c r="W239" s="204"/>
      <c r="X239" s="501"/>
    </row>
    <row r="240" spans="2:24" ht="18" customHeight="1" x14ac:dyDescent="0.25">
      <c r="B240" s="255"/>
      <c r="U240" s="227"/>
      <c r="W240" s="204"/>
      <c r="X240" s="501"/>
    </row>
    <row r="241" spans="2:24" ht="18" customHeight="1" x14ac:dyDescent="0.25">
      <c r="B241" s="255"/>
      <c r="U241" s="227"/>
      <c r="W241" s="204"/>
      <c r="X241" s="501"/>
    </row>
    <row r="242" spans="2:24" ht="18" customHeight="1" x14ac:dyDescent="0.25">
      <c r="B242" s="255"/>
      <c r="U242" s="227"/>
      <c r="W242" s="204"/>
      <c r="X242" s="501"/>
    </row>
    <row r="243" spans="2:24" ht="18" customHeight="1" x14ac:dyDescent="0.25">
      <c r="B243" s="255"/>
      <c r="U243" s="227"/>
      <c r="W243" s="204"/>
      <c r="X243" s="501"/>
    </row>
    <row r="244" spans="2:24" ht="18" customHeight="1" x14ac:dyDescent="0.25">
      <c r="B244" s="255"/>
      <c r="U244" s="227"/>
      <c r="W244" s="204"/>
      <c r="X244" s="501"/>
    </row>
    <row r="245" spans="2:24" ht="18" customHeight="1" x14ac:dyDescent="0.25">
      <c r="B245" s="255"/>
      <c r="U245" s="227"/>
      <c r="W245" s="204"/>
      <c r="X245" s="501"/>
    </row>
    <row r="246" spans="2:24" ht="18" customHeight="1" x14ac:dyDescent="0.25">
      <c r="B246" s="255"/>
      <c r="U246" s="227"/>
      <c r="W246" s="204"/>
      <c r="X246" s="501"/>
    </row>
    <row r="247" spans="2:24" ht="18" customHeight="1" x14ac:dyDescent="0.25">
      <c r="B247" s="255"/>
      <c r="U247" s="227"/>
      <c r="W247" s="204"/>
      <c r="X247" s="501"/>
    </row>
    <row r="248" spans="2:24" ht="18" customHeight="1" x14ac:dyDescent="0.25">
      <c r="B248" s="255"/>
      <c r="U248" s="227"/>
      <c r="W248" s="204"/>
      <c r="X248" s="501"/>
    </row>
    <row r="249" spans="2:24" ht="18" customHeight="1" x14ac:dyDescent="0.25">
      <c r="B249" s="255"/>
      <c r="U249" s="227"/>
      <c r="W249" s="204"/>
      <c r="X249" s="501"/>
    </row>
    <row r="250" spans="2:24" ht="18" customHeight="1" x14ac:dyDescent="0.25">
      <c r="B250" s="255"/>
      <c r="U250" s="227"/>
      <c r="W250" s="204"/>
      <c r="X250" s="501"/>
    </row>
    <row r="251" spans="2:24" ht="18" customHeight="1" x14ac:dyDescent="0.25">
      <c r="B251" s="255"/>
      <c r="U251" s="227"/>
      <c r="W251" s="204"/>
      <c r="X251" s="501"/>
    </row>
    <row r="252" spans="2:24" ht="18" customHeight="1" x14ac:dyDescent="0.25">
      <c r="B252" s="255"/>
      <c r="U252" s="227"/>
      <c r="W252" s="204"/>
      <c r="X252" s="501"/>
    </row>
    <row r="253" spans="2:24" ht="18" customHeight="1" x14ac:dyDescent="0.25">
      <c r="B253" s="255"/>
      <c r="U253" s="227"/>
      <c r="W253" s="204"/>
      <c r="X253" s="501"/>
    </row>
    <row r="254" spans="2:24" ht="18" customHeight="1" x14ac:dyDescent="0.25">
      <c r="B254" s="255"/>
      <c r="U254" s="227"/>
      <c r="W254" s="204"/>
      <c r="X254" s="501"/>
    </row>
    <row r="255" spans="2:24" ht="18" customHeight="1" x14ac:dyDescent="0.25">
      <c r="B255" s="255"/>
      <c r="U255" s="227"/>
      <c r="W255" s="204"/>
      <c r="X255" s="501"/>
    </row>
    <row r="256" spans="2:24" ht="18" customHeight="1" x14ac:dyDescent="0.25">
      <c r="B256" s="255"/>
      <c r="U256" s="227"/>
      <c r="W256" s="204"/>
      <c r="X256" s="501"/>
    </row>
    <row r="257" spans="1:25" ht="18" customHeight="1" x14ac:dyDescent="0.25">
      <c r="B257" s="255"/>
      <c r="U257" s="227"/>
      <c r="W257" s="204"/>
      <c r="X257" s="501"/>
    </row>
    <row r="258" spans="1:25" ht="18" customHeight="1" x14ac:dyDescent="0.25">
      <c r="B258" s="255"/>
      <c r="U258" s="227"/>
      <c r="W258" s="204"/>
      <c r="X258" s="501"/>
    </row>
    <row r="259" spans="1:25" ht="18" customHeight="1" x14ac:dyDescent="0.25">
      <c r="B259" s="255"/>
      <c r="U259" s="227"/>
      <c r="W259" s="204"/>
      <c r="X259" s="501"/>
    </row>
    <row r="260" spans="1:25" ht="18" customHeight="1" x14ac:dyDescent="0.25">
      <c r="B260" s="255"/>
      <c r="U260" s="227"/>
      <c r="W260" s="204"/>
      <c r="X260" s="501"/>
    </row>
    <row r="261" spans="1:25" ht="18" customHeight="1" x14ac:dyDescent="0.25">
      <c r="B261" s="255"/>
      <c r="U261" s="227"/>
      <c r="W261" s="204"/>
      <c r="X261" s="501"/>
    </row>
    <row r="262" spans="1:25" ht="18" customHeight="1" x14ac:dyDescent="0.25">
      <c r="B262" s="255"/>
      <c r="U262" s="227"/>
      <c r="W262" s="204"/>
      <c r="X262" s="501"/>
    </row>
    <row r="263" spans="1:25" ht="18" customHeight="1" x14ac:dyDescent="0.25">
      <c r="B263" s="255"/>
      <c r="U263" s="227"/>
      <c r="W263" s="204"/>
      <c r="X263" s="501"/>
    </row>
    <row r="264" spans="1:25" ht="18" customHeight="1" thickBot="1" x14ac:dyDescent="0.3">
      <c r="B264" s="256"/>
      <c r="C264" s="240"/>
      <c r="D264" s="240"/>
      <c r="E264" s="240"/>
      <c r="F264" s="240"/>
      <c r="G264" s="240"/>
      <c r="H264" s="240"/>
      <c r="I264" s="240"/>
      <c r="J264" s="240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1"/>
      <c r="W264" s="204"/>
      <c r="X264" s="501"/>
    </row>
    <row r="265" spans="1:25" ht="9.9499999999999993" customHeight="1" x14ac:dyDescent="0.25">
      <c r="W265" s="204"/>
      <c r="X265" s="501"/>
    </row>
    <row r="266" spans="1:25" ht="4.5" customHeight="1" x14ac:dyDescent="0.25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501"/>
    </row>
    <row r="267" spans="1:25" ht="45" customHeight="1" x14ac:dyDescent="0.25">
      <c r="A267" s="501"/>
      <c r="B267" s="501"/>
      <c r="C267" s="501"/>
      <c r="D267" s="501"/>
      <c r="E267" s="501"/>
      <c r="F267" s="1014" t="s">
        <v>713</v>
      </c>
      <c r="G267" s="1014"/>
      <c r="H267" s="1014"/>
      <c r="I267" s="1014"/>
      <c r="J267" s="1014"/>
      <c r="K267" s="1014"/>
      <c r="L267" s="1014"/>
      <c r="M267" s="1014"/>
      <c r="N267" s="1014"/>
      <c r="O267" s="1014"/>
      <c r="P267" s="1014"/>
      <c r="Q267" s="1014"/>
      <c r="R267" s="1014"/>
      <c r="S267" s="501"/>
      <c r="T267" s="501"/>
      <c r="U267" s="501"/>
      <c r="V267" s="501"/>
      <c r="W267" s="501"/>
      <c r="X267" s="501"/>
    </row>
    <row r="268" spans="1:25" s="502" customFormat="1" ht="26.25" customHeight="1" x14ac:dyDescent="0.25">
      <c r="Y268" s="203"/>
    </row>
    <row r="270" spans="1:25" ht="18" customHeight="1" x14ac:dyDescent="0.25">
      <c r="A270" s="502"/>
    </row>
    <row r="271" spans="1:25" ht="18" customHeight="1" x14ac:dyDescent="0.25">
      <c r="B271" s="497" t="s">
        <v>501</v>
      </c>
    </row>
    <row r="272" spans="1:25" ht="18" customHeight="1" x14ac:dyDescent="0.25">
      <c r="B272" s="496" t="s">
        <v>494</v>
      </c>
    </row>
    <row r="273" spans="2:3" ht="18" customHeight="1" x14ac:dyDescent="0.25">
      <c r="B273" s="498" t="s">
        <v>495</v>
      </c>
      <c r="C273" s="495" t="s">
        <v>500</v>
      </c>
    </row>
    <row r="274" spans="2:3" ht="18" customHeight="1" x14ac:dyDescent="0.25">
      <c r="B274" s="498" t="s">
        <v>495</v>
      </c>
      <c r="C274" s="495" t="s">
        <v>496</v>
      </c>
    </row>
    <row r="275" spans="2:3" ht="18" customHeight="1" x14ac:dyDescent="0.25">
      <c r="B275" s="496" t="s">
        <v>712</v>
      </c>
    </row>
    <row r="276" spans="2:3" ht="18" customHeight="1" x14ac:dyDescent="0.25">
      <c r="B276" s="498" t="s">
        <v>495</v>
      </c>
      <c r="C276" s="495" t="s">
        <v>502</v>
      </c>
    </row>
    <row r="277" spans="2:3" ht="18" customHeight="1" x14ac:dyDescent="0.25">
      <c r="B277" s="498" t="s">
        <v>495</v>
      </c>
      <c r="C277" s="495" t="s">
        <v>921</v>
      </c>
    </row>
    <row r="278" spans="2:3" ht="18" customHeight="1" x14ac:dyDescent="0.25">
      <c r="B278" s="498" t="s">
        <v>495</v>
      </c>
      <c r="C278" s="495" t="s">
        <v>635</v>
      </c>
    </row>
    <row r="279" spans="2:3" ht="18" customHeight="1" x14ac:dyDescent="0.25">
      <c r="B279" s="498" t="s">
        <v>495</v>
      </c>
      <c r="C279" s="495" t="s">
        <v>685</v>
      </c>
    </row>
    <row r="280" spans="2:3" ht="18" customHeight="1" x14ac:dyDescent="0.25">
      <c r="B280" s="498" t="s">
        <v>495</v>
      </c>
      <c r="C280" s="495" t="s">
        <v>701</v>
      </c>
    </row>
    <row r="281" spans="2:3" ht="18" customHeight="1" x14ac:dyDescent="0.25">
      <c r="B281" s="498" t="s">
        <v>495</v>
      </c>
      <c r="C281" s="495" t="s">
        <v>686</v>
      </c>
    </row>
    <row r="282" spans="2:3" ht="18" customHeight="1" x14ac:dyDescent="0.25">
      <c r="B282" s="498" t="s">
        <v>495</v>
      </c>
      <c r="C282" s="495" t="s">
        <v>637</v>
      </c>
    </row>
    <row r="283" spans="2:3" ht="18" customHeight="1" x14ac:dyDescent="0.25">
      <c r="B283" s="496" t="s">
        <v>806</v>
      </c>
    </row>
    <row r="284" spans="2:3" ht="18" customHeight="1" x14ac:dyDescent="0.25">
      <c r="B284" s="498" t="s">
        <v>495</v>
      </c>
      <c r="C284" s="495" t="s">
        <v>717</v>
      </c>
    </row>
    <row r="285" spans="2:3" ht="18" customHeight="1" x14ac:dyDescent="0.25">
      <c r="B285" s="498" t="s">
        <v>495</v>
      </c>
      <c r="C285" s="495" t="s">
        <v>785</v>
      </c>
    </row>
    <row r="286" spans="2:3" ht="18" customHeight="1" x14ac:dyDescent="0.25">
      <c r="B286" s="498" t="s">
        <v>495</v>
      </c>
      <c r="C286" s="495" t="s">
        <v>714</v>
      </c>
    </row>
    <row r="287" spans="2:3" ht="18" customHeight="1" x14ac:dyDescent="0.25">
      <c r="B287" s="498" t="s">
        <v>495</v>
      </c>
      <c r="C287" s="495" t="s">
        <v>721</v>
      </c>
    </row>
    <row r="288" spans="2:3" ht="18" customHeight="1" x14ac:dyDescent="0.25">
      <c r="B288" s="498" t="s">
        <v>495</v>
      </c>
      <c r="C288" s="495" t="s">
        <v>748</v>
      </c>
    </row>
    <row r="289" spans="2:3" ht="18" customHeight="1" x14ac:dyDescent="0.25">
      <c r="B289" s="498" t="s">
        <v>495</v>
      </c>
      <c r="C289" s="495" t="s">
        <v>786</v>
      </c>
    </row>
    <row r="290" spans="2:3" ht="18" customHeight="1" x14ac:dyDescent="0.25">
      <c r="B290" s="496" t="s">
        <v>920</v>
      </c>
    </row>
    <row r="291" spans="2:3" ht="18" customHeight="1" x14ac:dyDescent="0.25">
      <c r="B291" s="498" t="s">
        <v>495</v>
      </c>
      <c r="C291" s="495" t="s">
        <v>907</v>
      </c>
    </row>
    <row r="292" spans="2:3" ht="18" customHeight="1" x14ac:dyDescent="0.25">
      <c r="B292" s="498" t="s">
        <v>495</v>
      </c>
      <c r="C292" s="495" t="s">
        <v>909</v>
      </c>
    </row>
    <row r="293" spans="2:3" ht="18" customHeight="1" x14ac:dyDescent="0.25">
      <c r="B293" s="498" t="s">
        <v>495</v>
      </c>
      <c r="C293" s="495" t="s">
        <v>910</v>
      </c>
    </row>
    <row r="294" spans="2:3" ht="18" customHeight="1" x14ac:dyDescent="0.25">
      <c r="B294" s="498" t="s">
        <v>495</v>
      </c>
      <c r="C294" s="495" t="s">
        <v>903</v>
      </c>
    </row>
    <row r="295" spans="2:3" ht="18" customHeight="1" x14ac:dyDescent="0.25">
      <c r="B295" s="498" t="s">
        <v>495</v>
      </c>
      <c r="C295" s="495" t="s">
        <v>816</v>
      </c>
    </row>
    <row r="296" spans="2:3" ht="18" customHeight="1" x14ac:dyDescent="0.25">
      <c r="B296" s="498" t="s">
        <v>495</v>
      </c>
      <c r="C296" s="495" t="s">
        <v>805</v>
      </c>
    </row>
    <row r="297" spans="2:3" ht="18" customHeight="1" x14ac:dyDescent="0.25">
      <c r="B297" s="498" t="s">
        <v>495</v>
      </c>
      <c r="C297" s="495" t="s">
        <v>890</v>
      </c>
    </row>
    <row r="298" spans="2:3" ht="18" customHeight="1" x14ac:dyDescent="0.25">
      <c r="B298" s="496" t="s">
        <v>922</v>
      </c>
    </row>
    <row r="299" spans="2:3" ht="18" customHeight="1" x14ac:dyDescent="0.25">
      <c r="B299" s="498" t="s">
        <v>495</v>
      </c>
      <c r="C299" s="495" t="s">
        <v>924</v>
      </c>
    </row>
    <row r="300" spans="2:3" ht="18" customHeight="1" x14ac:dyDescent="0.25">
      <c r="B300" s="498" t="s">
        <v>495</v>
      </c>
      <c r="C300" s="495" t="s">
        <v>925</v>
      </c>
    </row>
    <row r="301" spans="2:3" ht="18" customHeight="1" x14ac:dyDescent="0.25">
      <c r="B301" s="498" t="s">
        <v>495</v>
      </c>
      <c r="C301" s="495" t="s">
        <v>926</v>
      </c>
    </row>
    <row r="302" spans="2:3" ht="18" customHeight="1" x14ac:dyDescent="0.25">
      <c r="B302" s="498" t="s">
        <v>495</v>
      </c>
      <c r="C302" s="495" t="s">
        <v>927</v>
      </c>
    </row>
    <row r="303" spans="2:3" ht="18" customHeight="1" x14ac:dyDescent="0.25">
      <c r="B303" s="498" t="s">
        <v>495</v>
      </c>
      <c r="C303" s="495" t="s">
        <v>928</v>
      </c>
    </row>
    <row r="304" spans="2:3" ht="18" customHeight="1" x14ac:dyDescent="0.25">
      <c r="B304" s="498" t="s">
        <v>495</v>
      </c>
      <c r="C304" s="495" t="s">
        <v>929</v>
      </c>
    </row>
    <row r="305" spans="2:3" ht="18" customHeight="1" x14ac:dyDescent="0.25">
      <c r="B305" s="498" t="s">
        <v>495</v>
      </c>
      <c r="C305" s="495" t="s">
        <v>930</v>
      </c>
    </row>
  </sheetData>
  <sheetProtection algorithmName="SHA-512" hashValue="p+t91afXDgicpkWD7XaGtBkWGbZ17ueJVLmrKcd04+IeUKkbOgVqFNE0U0PMmYXVJ0ty63sGxP50kVdNjfeIUQ==" saltValue="QgY3BChMxnSU47VNguLvdg==" spinCount="100000" sheet="1" objects="1" scenarios="1"/>
  <mergeCells count="11">
    <mergeCell ref="Y1:AA1"/>
    <mergeCell ref="F267:R267"/>
    <mergeCell ref="N72:P73"/>
    <mergeCell ref="N75:T78"/>
    <mergeCell ref="A1:B1"/>
    <mergeCell ref="R1:T1"/>
    <mergeCell ref="K39:L39"/>
    <mergeCell ref="K40:L40"/>
    <mergeCell ref="K43:L43"/>
    <mergeCell ref="K41:L41"/>
    <mergeCell ref="K42:L42"/>
  </mergeCells>
  <conditionalFormatting sqref="A1:Q1">
    <cfRule type="expression" dxfId="130" priority="10">
      <formula>OR(VA_FEHLER_AB&gt;0,VA_FEHLER_C&gt;0)</formula>
    </cfRule>
  </conditionalFormatting>
  <conditionalFormatting sqref="Y1">
    <cfRule type="expression" dxfId="129" priority="1">
      <formula>V_ARBEIT=0</formula>
    </cfRule>
  </conditionalFormatting>
  <dataValidations disablePrompts="1" count="2">
    <dataValidation allowBlank="1" showInputMessage="1" showErrorMessage="1" promptTitle="Beispiel" prompt="In grünen Feldern können Sie Werte eintragen und voreingetragene Werte überschreiben, aber auch Werte herauslöschen." sqref="K39:L39" xr:uid="{D736AB25-8D71-49E7-9492-3FF2EE64A71F}"/>
    <dataValidation type="list" allowBlank="1" showInputMessage="1" showErrorMessage="1" errorTitle="Eingabefehler" error="Bitte Eintrag aus der Auswahlliste wählen." sqref="K40:L40" xr:uid="{0C06649A-1CA4-4CD0-83C5-6A03F07607DA}">
      <formula1>"Beispiel,Zweite Auswahl,Dritte Auswahl"</formula1>
    </dataValidation>
  </dataValidations>
  <hyperlinks>
    <hyperlink ref="R74" r:id="rId1" tooltip="E-Mail senden an Lukas Benda (technischer Support)" xr:uid="{E39387F5-93B1-4E5A-B36A-0B8E98890F47}"/>
  </hyperlinks>
  <printOptions horizontalCentered="1" verticalCentered="1"/>
  <pageMargins left="0.70866141732283472" right="0.70866141732283472" top="0.78740157480314965" bottom="0.78740157480314965" header="0.39370078740157483" footer="0.27559055118110237"/>
  <pageSetup paperSize="9" scale="47" orientation="portrait" errors="blank" r:id="rId2"/>
  <headerFooter scaleWithDoc="0">
    <oddHeader>&amp;L&amp;13Erläuterungsgrafiken und Begriffsdefinitionen&amp;R&amp;G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64202-9806-4AD2-94D8-1826168C0730}">
  <sheetPr codeName="Sheet7">
    <tabColor theme="3" tint="0.79998168889431442"/>
    <pageSetUpPr autoPageBreaks="0" fitToPage="1"/>
  </sheetPr>
  <dimension ref="A1:AA109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07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9"/>
      <c r="W5" s="204"/>
    </row>
    <row r="6" spans="1:27" ht="18" customHeight="1" x14ac:dyDescent="0.25">
      <c r="B6" s="210"/>
      <c r="C6" s="404" t="s">
        <v>498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3"/>
      <c r="W6" s="204"/>
    </row>
    <row r="7" spans="1:27" ht="6" customHeight="1" x14ac:dyDescent="0.25">
      <c r="B7" s="210"/>
      <c r="C7" s="211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3"/>
      <c r="W7" s="204"/>
    </row>
    <row r="8" spans="1:27" ht="18" customHeight="1" x14ac:dyDescent="0.25">
      <c r="B8" s="210"/>
      <c r="C8" s="202" t="s">
        <v>896</v>
      </c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3"/>
      <c r="W8" s="204"/>
    </row>
    <row r="9" spans="1:27" ht="6" customHeight="1" x14ac:dyDescent="0.25">
      <c r="B9" s="210"/>
      <c r="C9" s="211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3"/>
      <c r="W9" s="204"/>
    </row>
    <row r="10" spans="1:27" ht="18" customHeight="1" x14ac:dyDescent="0.25">
      <c r="B10" s="210"/>
      <c r="C10" s="202" t="s">
        <v>465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3"/>
      <c r="W10" s="204"/>
    </row>
    <row r="11" spans="1:27" ht="18" customHeight="1" x14ac:dyDescent="0.25">
      <c r="B11" s="210"/>
      <c r="C11" s="212" t="s">
        <v>931</v>
      </c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3"/>
      <c r="W11" s="204"/>
    </row>
    <row r="12" spans="1:27" ht="6" customHeight="1" x14ac:dyDescent="0.25">
      <c r="B12" s="210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3"/>
      <c r="W12" s="204"/>
    </row>
    <row r="13" spans="1:27" ht="18" customHeight="1" x14ac:dyDescent="0.25">
      <c r="B13" s="210"/>
      <c r="C13" s="202" t="s">
        <v>932</v>
      </c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3"/>
      <c r="W13" s="204"/>
    </row>
    <row r="14" spans="1:27" ht="18" customHeight="1" x14ac:dyDescent="0.25">
      <c r="B14" s="210"/>
      <c r="C14" s="202" t="s">
        <v>933</v>
      </c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3"/>
      <c r="W14" s="204"/>
    </row>
    <row r="15" spans="1:27" ht="18" customHeight="1" x14ac:dyDescent="0.25">
      <c r="B15" s="210"/>
      <c r="C15" s="212" t="s">
        <v>934</v>
      </c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3"/>
      <c r="W15" s="204"/>
      <c r="X15" s="501"/>
    </row>
    <row r="16" spans="1:27" ht="18" customHeight="1" x14ac:dyDescent="0.25">
      <c r="B16" s="210"/>
      <c r="C16" s="212" t="s">
        <v>935</v>
      </c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3"/>
      <c r="W16" s="204"/>
      <c r="X16" s="501"/>
    </row>
    <row r="17" spans="2:24" ht="6" customHeight="1" x14ac:dyDescent="0.25">
      <c r="B17" s="210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3"/>
      <c r="W17" s="204"/>
      <c r="X17" s="501"/>
    </row>
    <row r="18" spans="2:24" ht="18" customHeight="1" x14ac:dyDescent="0.25">
      <c r="B18" s="210"/>
      <c r="C18" s="202" t="s">
        <v>938</v>
      </c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3"/>
      <c r="W18" s="204"/>
      <c r="X18" s="501"/>
    </row>
    <row r="19" spans="2:24" ht="18" customHeight="1" x14ac:dyDescent="0.25">
      <c r="B19" s="210"/>
      <c r="C19" s="212" t="s">
        <v>936</v>
      </c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3"/>
      <c r="W19" s="204"/>
      <c r="X19" s="501"/>
    </row>
    <row r="20" spans="2:24" ht="18" customHeight="1" x14ac:dyDescent="0.25">
      <c r="B20" s="210"/>
      <c r="C20" s="212" t="s">
        <v>937</v>
      </c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3"/>
      <c r="W20" s="204"/>
      <c r="X20" s="501"/>
    </row>
    <row r="21" spans="2:24" ht="18" customHeight="1" x14ac:dyDescent="0.25">
      <c r="B21" s="210"/>
      <c r="C21" s="212" t="s">
        <v>939</v>
      </c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3"/>
      <c r="W21" s="204"/>
      <c r="X21" s="501"/>
    </row>
    <row r="22" spans="2:24" ht="6" customHeight="1" x14ac:dyDescent="0.25">
      <c r="B22" s="210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3"/>
      <c r="W22" s="204"/>
      <c r="X22" s="501"/>
    </row>
    <row r="23" spans="2:24" ht="18" customHeight="1" x14ac:dyDescent="0.25">
      <c r="B23" s="210"/>
      <c r="C23" s="202" t="s">
        <v>911</v>
      </c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3"/>
      <c r="W23" s="204"/>
      <c r="X23" s="501"/>
    </row>
    <row r="24" spans="2:24" ht="18" customHeight="1" x14ac:dyDescent="0.25">
      <c r="B24" s="210"/>
      <c r="C24" s="202" t="s">
        <v>914</v>
      </c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3"/>
      <c r="W24" s="204"/>
      <c r="X24" s="501"/>
    </row>
    <row r="25" spans="2:24" ht="18" customHeight="1" x14ac:dyDescent="0.25">
      <c r="B25" s="210"/>
      <c r="C25" s="202" t="s">
        <v>912</v>
      </c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3"/>
      <c r="W25" s="204"/>
      <c r="X25" s="501"/>
    </row>
    <row r="26" spans="2:24" ht="18" customHeight="1" x14ac:dyDescent="0.25">
      <c r="B26" s="210"/>
      <c r="C26" s="202" t="s">
        <v>913</v>
      </c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3"/>
      <c r="W26" s="204"/>
      <c r="X26" s="501"/>
    </row>
    <row r="27" spans="2:24" ht="6" customHeight="1" x14ac:dyDescent="0.25">
      <c r="B27" s="210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3"/>
      <c r="W27" s="204"/>
      <c r="X27" s="501"/>
    </row>
    <row r="28" spans="2:24" ht="18" customHeight="1" x14ac:dyDescent="0.25">
      <c r="B28" s="210"/>
      <c r="C28" s="202" t="s">
        <v>499</v>
      </c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3"/>
      <c r="W28" s="204"/>
      <c r="X28" s="501"/>
    </row>
    <row r="29" spans="2:24" ht="12" customHeight="1" x14ac:dyDescent="0.25">
      <c r="B29" s="210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3"/>
      <c r="W29" s="204"/>
      <c r="X29" s="501"/>
    </row>
    <row r="30" spans="2:24" ht="18" customHeight="1" x14ac:dyDescent="0.25">
      <c r="B30" s="210"/>
      <c r="C30" s="486" t="s">
        <v>458</v>
      </c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3"/>
      <c r="W30" s="204"/>
      <c r="X30" s="501"/>
    </row>
    <row r="31" spans="2:24" ht="18" customHeight="1" x14ac:dyDescent="0.25">
      <c r="B31" s="210"/>
      <c r="C31" s="212" t="s">
        <v>482</v>
      </c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3"/>
      <c r="W31" s="204"/>
      <c r="X31" s="501"/>
    </row>
    <row r="32" spans="2:24" ht="18" customHeight="1" x14ac:dyDescent="0.25">
      <c r="B32" s="210"/>
      <c r="C32" s="202" t="s">
        <v>483</v>
      </c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3"/>
      <c r="W32" s="204"/>
      <c r="X32" s="501"/>
    </row>
    <row r="33" spans="2:24" ht="18" customHeight="1" x14ac:dyDescent="0.25">
      <c r="B33" s="210"/>
      <c r="C33" s="212" t="s">
        <v>484</v>
      </c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3"/>
      <c r="W33" s="204"/>
      <c r="X33" s="501"/>
    </row>
    <row r="34" spans="2:24" ht="6" customHeight="1" x14ac:dyDescent="0.25">
      <c r="B34" s="210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3"/>
      <c r="W34" s="204"/>
      <c r="X34" s="501"/>
    </row>
    <row r="35" spans="2:24" ht="18" customHeight="1" x14ac:dyDescent="0.25">
      <c r="B35" s="210"/>
      <c r="C35" s="202" t="s">
        <v>460</v>
      </c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3"/>
      <c r="W35" s="204"/>
      <c r="X35" s="501"/>
    </row>
    <row r="36" spans="2:24" ht="18" customHeight="1" x14ac:dyDescent="0.25">
      <c r="B36" s="210"/>
      <c r="C36" s="202" t="s">
        <v>461</v>
      </c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3"/>
      <c r="W36" s="204"/>
      <c r="X36" s="501"/>
    </row>
    <row r="37" spans="2:24" ht="18" customHeight="1" x14ac:dyDescent="0.25">
      <c r="B37" s="210"/>
      <c r="C37" s="202" t="s">
        <v>486</v>
      </c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3"/>
      <c r="W37" s="204"/>
      <c r="X37" s="501"/>
    </row>
    <row r="38" spans="2:24" ht="18" customHeight="1" x14ac:dyDescent="0.25">
      <c r="B38" s="210"/>
      <c r="C38" s="202" t="s">
        <v>459</v>
      </c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3"/>
      <c r="W38" s="204"/>
      <c r="X38" s="501"/>
    </row>
    <row r="39" spans="2:24" ht="6" customHeight="1" x14ac:dyDescent="0.25">
      <c r="B39" s="210"/>
      <c r="C39" s="20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3"/>
      <c r="W39" s="204"/>
      <c r="X39" s="501"/>
    </row>
    <row r="40" spans="2:24" ht="18" customHeight="1" x14ac:dyDescent="0.25">
      <c r="B40" s="210"/>
      <c r="C40" s="202" t="s">
        <v>473</v>
      </c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3"/>
      <c r="W40" s="204"/>
      <c r="X40" s="501"/>
    </row>
    <row r="41" spans="2:24" ht="18" customHeight="1" x14ac:dyDescent="0.25">
      <c r="B41" s="210"/>
      <c r="C41" s="202" t="s">
        <v>491</v>
      </c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3"/>
      <c r="W41" s="204"/>
      <c r="X41" s="501"/>
    </row>
    <row r="42" spans="2:24" ht="6" customHeight="1" x14ac:dyDescent="0.25">
      <c r="B42" s="210"/>
      <c r="C42" s="20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3"/>
      <c r="W42" s="204"/>
      <c r="X42" s="501"/>
    </row>
    <row r="43" spans="2:24" ht="18" customHeight="1" x14ac:dyDescent="0.25">
      <c r="B43" s="210"/>
      <c r="C43" s="202" t="s">
        <v>462</v>
      </c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3"/>
      <c r="W43" s="204"/>
      <c r="X43" s="501"/>
    </row>
    <row r="44" spans="2:24" ht="18" customHeight="1" x14ac:dyDescent="0.25">
      <c r="B44" s="210"/>
      <c r="C44" s="202" t="s">
        <v>463</v>
      </c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3"/>
      <c r="W44" s="204"/>
      <c r="X44" s="501"/>
    </row>
    <row r="45" spans="2:24" ht="12" customHeight="1" x14ac:dyDescent="0.25">
      <c r="B45" s="210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3"/>
      <c r="W45" s="204"/>
      <c r="X45" s="501"/>
    </row>
    <row r="46" spans="2:24" ht="18" customHeight="1" x14ac:dyDescent="0.25">
      <c r="B46" s="210"/>
      <c r="C46" s="486" t="s">
        <v>464</v>
      </c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3"/>
      <c r="W46" s="204"/>
      <c r="X46" s="501"/>
    </row>
    <row r="47" spans="2:24" ht="18" customHeight="1" x14ac:dyDescent="0.25">
      <c r="B47" s="210"/>
      <c r="C47" s="212" t="s">
        <v>753</v>
      </c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3"/>
      <c r="W47" s="204"/>
      <c r="X47" s="501"/>
    </row>
    <row r="48" spans="2:24" ht="18" customHeight="1" x14ac:dyDescent="0.25">
      <c r="B48" s="210"/>
      <c r="C48" s="212" t="s">
        <v>466</v>
      </c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3"/>
      <c r="W48" s="204"/>
      <c r="X48" s="501"/>
    </row>
    <row r="49" spans="1:24" ht="18" customHeight="1" x14ac:dyDescent="0.25">
      <c r="B49" s="210"/>
      <c r="C49" s="212" t="s">
        <v>467</v>
      </c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3"/>
      <c r="W49" s="204"/>
      <c r="X49" s="501"/>
    </row>
    <row r="50" spans="1:24" ht="18" customHeight="1" x14ac:dyDescent="0.25">
      <c r="B50" s="210"/>
      <c r="C50" s="212" t="s">
        <v>468</v>
      </c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3"/>
      <c r="W50" s="204"/>
      <c r="X50" s="501"/>
    </row>
    <row r="51" spans="1:24" ht="18" customHeight="1" x14ac:dyDescent="0.25">
      <c r="B51" s="210"/>
      <c r="C51" s="212" t="s">
        <v>469</v>
      </c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3"/>
      <c r="W51" s="204"/>
      <c r="X51" s="501"/>
    </row>
    <row r="52" spans="1:24" ht="6" customHeight="1" x14ac:dyDescent="0.25">
      <c r="B52" s="210"/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3"/>
      <c r="W52" s="204"/>
      <c r="X52" s="501"/>
    </row>
    <row r="53" spans="1:24" ht="18" customHeight="1" x14ac:dyDescent="0.25">
      <c r="B53" s="210"/>
      <c r="C53" s="212" t="s">
        <v>470</v>
      </c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3"/>
      <c r="W53" s="204"/>
      <c r="X53" s="501"/>
    </row>
    <row r="54" spans="1:24" ht="14.1" customHeight="1" thickBot="1" x14ac:dyDescent="0.3">
      <c r="B54" s="210"/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24"/>
      <c r="W54" s="204"/>
      <c r="X54" s="501"/>
    </row>
    <row r="55" spans="1:24" ht="18" customHeight="1" thickBot="1" x14ac:dyDescent="0.3"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6"/>
      <c r="W55" s="204"/>
      <c r="X55" s="501"/>
    </row>
    <row r="56" spans="1:24" ht="44.1" customHeight="1" thickBot="1" x14ac:dyDescent="0.3">
      <c r="A56" s="227"/>
      <c r="B56" s="676"/>
      <c r="C56" s="1087" t="s">
        <v>682</v>
      </c>
      <c r="D56" s="1087"/>
      <c r="E56" s="1087"/>
      <c r="F56" s="1087"/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677"/>
      <c r="W56" s="204"/>
      <c r="X56" s="501"/>
    </row>
    <row r="57" spans="1:24" ht="18" customHeight="1" thickBot="1" x14ac:dyDescent="0.3">
      <c r="B57" s="660"/>
      <c r="C57" s="675"/>
      <c r="D57" s="660"/>
      <c r="E57" s="660"/>
      <c r="F57" s="660"/>
      <c r="G57" s="660"/>
      <c r="H57" s="660"/>
      <c r="I57" s="660"/>
      <c r="J57" s="660"/>
      <c r="K57" s="660"/>
      <c r="L57" s="660"/>
      <c r="M57" s="660"/>
      <c r="N57" s="660"/>
      <c r="O57" s="660"/>
      <c r="P57" s="660"/>
      <c r="Q57" s="660"/>
      <c r="R57" s="660"/>
      <c r="S57" s="660"/>
      <c r="T57" s="660"/>
      <c r="U57" s="660"/>
      <c r="W57" s="204"/>
      <c r="X57" s="501"/>
    </row>
    <row r="58" spans="1:24" ht="18" customHeight="1" thickBot="1" x14ac:dyDescent="0.3">
      <c r="A58" s="227"/>
      <c r="U58" s="227"/>
      <c r="W58" s="204"/>
      <c r="X58" s="501"/>
    </row>
    <row r="59" spans="1:24" ht="39.950000000000003" customHeight="1" x14ac:dyDescent="0.25">
      <c r="A59" s="227"/>
      <c r="C59" s="1094" t="s">
        <v>471</v>
      </c>
      <c r="D59" s="1095"/>
      <c r="E59" s="1095"/>
      <c r="F59" s="1095"/>
      <c r="G59" s="1095"/>
      <c r="H59" s="1095"/>
      <c r="I59" s="1095"/>
      <c r="J59" s="1095"/>
      <c r="K59" s="1095"/>
      <c r="L59" s="1095"/>
      <c r="M59" s="1096"/>
      <c r="N59" s="487"/>
      <c r="O59" s="1100" t="s">
        <v>832</v>
      </c>
      <c r="P59" s="1101"/>
      <c r="Q59" s="1101"/>
      <c r="R59" s="1101"/>
      <c r="S59" s="1101"/>
      <c r="T59" s="1102"/>
      <c r="U59" s="227"/>
      <c r="W59" s="204"/>
      <c r="X59" s="501"/>
    </row>
    <row r="60" spans="1:24" ht="39.950000000000003" customHeight="1" thickBot="1" x14ac:dyDescent="0.3">
      <c r="A60" s="227"/>
      <c r="C60" s="1097" t="s">
        <v>472</v>
      </c>
      <c r="D60" s="1098"/>
      <c r="E60" s="1098"/>
      <c r="F60" s="1098"/>
      <c r="G60" s="1098"/>
      <c r="H60" s="1098"/>
      <c r="I60" s="1098"/>
      <c r="J60" s="1098"/>
      <c r="K60" s="1098"/>
      <c r="L60" s="1098"/>
      <c r="M60" s="1099"/>
      <c r="N60" s="487"/>
      <c r="O60" s="1097" t="s">
        <v>833</v>
      </c>
      <c r="P60" s="1098"/>
      <c r="Q60" s="1098"/>
      <c r="R60" s="1098"/>
      <c r="S60" s="1098"/>
      <c r="T60" s="1099"/>
      <c r="U60" s="227"/>
      <c r="W60" s="204"/>
      <c r="X60" s="501"/>
    </row>
    <row r="61" spans="1:24" ht="33.950000000000003" customHeight="1" thickBot="1" x14ac:dyDescent="0.3">
      <c r="A61" s="227"/>
      <c r="N61" s="490"/>
      <c r="O61" s="1088" t="s">
        <v>940</v>
      </c>
      <c r="P61" s="1089"/>
      <c r="Q61" s="1089"/>
      <c r="R61" s="1089"/>
      <c r="S61" s="1089"/>
      <c r="T61" s="1090"/>
      <c r="U61" s="500"/>
      <c r="W61" s="204"/>
      <c r="X61" s="501"/>
    </row>
    <row r="62" spans="1:24" ht="33.950000000000003" customHeight="1" thickBot="1" x14ac:dyDescent="0.3">
      <c r="A62" s="227"/>
      <c r="C62" s="491" t="s">
        <v>480</v>
      </c>
      <c r="O62" s="499"/>
      <c r="P62" s="499"/>
      <c r="Q62" s="499"/>
      <c r="R62" s="499"/>
      <c r="S62" s="499"/>
      <c r="T62" s="499"/>
      <c r="U62" s="227"/>
      <c r="W62" s="204"/>
      <c r="X62" s="501"/>
    </row>
    <row r="63" spans="1:24" ht="20.100000000000001" customHeight="1" x14ac:dyDescent="0.25">
      <c r="A63" s="227"/>
      <c r="C63" s="1070" t="s">
        <v>475</v>
      </c>
      <c r="D63" s="1071"/>
      <c r="E63" s="1072"/>
      <c r="F63" s="1073" t="s">
        <v>3</v>
      </c>
      <c r="G63" s="1074"/>
      <c r="H63" s="1074"/>
      <c r="I63" s="1074"/>
      <c r="J63" s="1075"/>
      <c r="K63" s="1073" t="s">
        <v>7</v>
      </c>
      <c r="L63" s="1074"/>
      <c r="M63" s="1074"/>
      <c r="N63" s="1074"/>
      <c r="O63" s="1075"/>
      <c r="P63" s="1073" t="s">
        <v>754</v>
      </c>
      <c r="Q63" s="1074"/>
      <c r="R63" s="1074"/>
      <c r="S63" s="1074"/>
      <c r="T63" s="1075"/>
      <c r="U63" s="227"/>
      <c r="W63" s="204"/>
      <c r="X63" s="501"/>
    </row>
    <row r="64" spans="1:24" ht="20.100000000000001" customHeight="1" thickBot="1" x14ac:dyDescent="0.3">
      <c r="A64" s="227"/>
      <c r="C64" s="1076" t="s">
        <v>476</v>
      </c>
      <c r="D64" s="1077"/>
      <c r="E64" s="1078"/>
      <c r="F64" s="1079" t="s">
        <v>477</v>
      </c>
      <c r="G64" s="1080"/>
      <c r="H64" s="1081" t="s">
        <v>99</v>
      </c>
      <c r="I64" s="1082"/>
      <c r="J64" s="1083"/>
      <c r="K64" s="1079" t="s">
        <v>477</v>
      </c>
      <c r="L64" s="1080"/>
      <c r="M64" s="1081" t="s">
        <v>99</v>
      </c>
      <c r="N64" s="1082"/>
      <c r="O64" s="1083"/>
      <c r="P64" s="1079" t="s">
        <v>477</v>
      </c>
      <c r="Q64" s="1080"/>
      <c r="R64" s="1081" t="s">
        <v>99</v>
      </c>
      <c r="S64" s="1082"/>
      <c r="T64" s="1083"/>
      <c r="U64" s="227"/>
      <c r="W64" s="204"/>
      <c r="X64" s="501"/>
    </row>
    <row r="65" spans="1:24" ht="39.950000000000003" customHeight="1" x14ac:dyDescent="0.25">
      <c r="A65" s="227"/>
      <c r="C65" s="1067" t="s">
        <v>4</v>
      </c>
      <c r="D65" s="1068"/>
      <c r="E65" s="1069"/>
      <c r="F65" s="1062"/>
      <c r="G65" s="1063"/>
      <c r="H65" s="1064"/>
      <c r="I65" s="1065"/>
      <c r="J65" s="1066"/>
      <c r="K65" s="1062"/>
      <c r="L65" s="1063"/>
      <c r="M65" s="1064"/>
      <c r="N65" s="1065"/>
      <c r="O65" s="1066"/>
      <c r="P65" s="1062"/>
      <c r="Q65" s="1063"/>
      <c r="R65" s="1064"/>
      <c r="S65" s="1065"/>
      <c r="T65" s="1066"/>
      <c r="U65" s="227"/>
      <c r="W65" s="204"/>
      <c r="X65" s="501"/>
    </row>
    <row r="66" spans="1:24" ht="39.950000000000003" customHeight="1" x14ac:dyDescent="0.25">
      <c r="A66" s="227"/>
      <c r="C66" s="1059" t="s">
        <v>5</v>
      </c>
      <c r="D66" s="1060"/>
      <c r="E66" s="1061"/>
      <c r="F66" s="1050"/>
      <c r="G66" s="1051"/>
      <c r="H66" s="1052"/>
      <c r="I66" s="1053"/>
      <c r="J66" s="1054"/>
      <c r="K66" s="1050"/>
      <c r="L66" s="1051"/>
      <c r="M66" s="1052"/>
      <c r="N66" s="1053"/>
      <c r="O66" s="1054"/>
      <c r="P66" s="1050"/>
      <c r="Q66" s="1051"/>
      <c r="R66" s="1052"/>
      <c r="S66" s="1053"/>
      <c r="T66" s="1054"/>
      <c r="U66" s="227"/>
      <c r="W66" s="204"/>
      <c r="X66" s="501"/>
    </row>
    <row r="67" spans="1:24" ht="39.950000000000003" customHeight="1" x14ac:dyDescent="0.25">
      <c r="A67" s="227"/>
      <c r="C67" s="1059" t="s">
        <v>299</v>
      </c>
      <c r="D67" s="1060"/>
      <c r="E67" s="1061"/>
      <c r="F67" s="1050"/>
      <c r="G67" s="1051"/>
      <c r="H67" s="1052"/>
      <c r="I67" s="1053"/>
      <c r="J67" s="1054"/>
      <c r="K67" s="1050"/>
      <c r="L67" s="1051"/>
      <c r="M67" s="1052"/>
      <c r="N67" s="1053"/>
      <c r="O67" s="1054"/>
      <c r="P67" s="1050"/>
      <c r="Q67" s="1051"/>
      <c r="R67" s="1052"/>
      <c r="S67" s="1053"/>
      <c r="T67" s="1054"/>
      <c r="U67" s="227"/>
      <c r="W67" s="204"/>
      <c r="X67" s="501"/>
    </row>
    <row r="68" spans="1:24" ht="39.950000000000003" customHeight="1" thickBot="1" x14ac:dyDescent="0.3">
      <c r="A68" s="227"/>
      <c r="C68" s="1055" t="s">
        <v>6</v>
      </c>
      <c r="D68" s="1056"/>
      <c r="E68" s="1057"/>
      <c r="F68" s="1058"/>
      <c r="G68" s="1047"/>
      <c r="H68" s="1046"/>
      <c r="I68" s="1048"/>
      <c r="J68" s="1049"/>
      <c r="K68" s="1058"/>
      <c r="L68" s="1047"/>
      <c r="M68" s="1046"/>
      <c r="N68" s="1048"/>
      <c r="O68" s="1049"/>
      <c r="P68" s="1058"/>
      <c r="Q68" s="1047"/>
      <c r="R68" s="1046"/>
      <c r="S68" s="1048"/>
      <c r="T68" s="1049"/>
      <c r="U68" s="227"/>
      <c r="W68" s="204"/>
      <c r="X68" s="501"/>
    </row>
    <row r="69" spans="1:24" ht="20.100000000000001" customHeight="1" thickBot="1" x14ac:dyDescent="0.3">
      <c r="A69" s="227"/>
      <c r="B69" s="255"/>
      <c r="C69" s="489"/>
      <c r="T69" s="490"/>
      <c r="U69" s="227"/>
      <c r="W69" s="204"/>
      <c r="X69" s="501"/>
    </row>
    <row r="70" spans="1:24" ht="20.100000000000001" customHeight="1" x14ac:dyDescent="0.25">
      <c r="A70" s="227"/>
      <c r="C70" s="1030" t="s">
        <v>206</v>
      </c>
      <c r="D70" s="1031"/>
      <c r="E70" s="1032"/>
      <c r="F70" s="1036" t="s">
        <v>481</v>
      </c>
      <c r="G70" s="1037"/>
      <c r="H70" s="1036" t="s">
        <v>474</v>
      </c>
      <c r="I70" s="1038"/>
      <c r="J70" s="1039"/>
      <c r="M70" s="1084" t="s">
        <v>915</v>
      </c>
      <c r="N70" s="1085"/>
      <c r="O70" s="1085"/>
      <c r="P70" s="1085"/>
      <c r="Q70" s="1086"/>
      <c r="R70" s="1040" t="s">
        <v>916</v>
      </c>
      <c r="S70" s="1041"/>
      <c r="T70" s="1042"/>
      <c r="U70" s="227"/>
      <c r="W70" s="204"/>
      <c r="X70" s="501"/>
    </row>
    <row r="71" spans="1:24" ht="39.950000000000003" customHeight="1" thickBot="1" x14ac:dyDescent="0.3">
      <c r="A71" s="227"/>
      <c r="C71" s="1033"/>
      <c r="D71" s="1034"/>
      <c r="E71" s="1035"/>
      <c r="F71" s="1046"/>
      <c r="G71" s="1047"/>
      <c r="H71" s="1046"/>
      <c r="I71" s="1048"/>
      <c r="J71" s="1049"/>
      <c r="K71" s="488"/>
      <c r="L71" s="488"/>
      <c r="M71" s="1091" t="s">
        <v>941</v>
      </c>
      <c r="N71" s="1092"/>
      <c r="O71" s="1092"/>
      <c r="P71" s="1092"/>
      <c r="Q71" s="1093"/>
      <c r="R71" s="1043"/>
      <c r="S71" s="1044"/>
      <c r="T71" s="1045"/>
      <c r="U71" s="227"/>
      <c r="W71" s="204"/>
      <c r="X71" s="501"/>
    </row>
    <row r="72" spans="1:24" ht="33.950000000000003" customHeight="1" x14ac:dyDescent="0.25">
      <c r="A72" s="227"/>
      <c r="U72" s="227"/>
      <c r="W72" s="204"/>
      <c r="X72" s="501"/>
    </row>
    <row r="73" spans="1:24" ht="33.950000000000003" customHeight="1" thickBot="1" x14ac:dyDescent="0.3">
      <c r="A73" s="227"/>
      <c r="C73" s="492" t="s">
        <v>485</v>
      </c>
      <c r="U73" s="227"/>
      <c r="W73" s="204"/>
      <c r="X73" s="501"/>
    </row>
    <row r="74" spans="1:24" ht="20.100000000000001" customHeight="1" x14ac:dyDescent="0.25">
      <c r="A74" s="227"/>
      <c r="C74" s="1070" t="s">
        <v>475</v>
      </c>
      <c r="D74" s="1071"/>
      <c r="E74" s="1072"/>
      <c r="F74" s="1073" t="s">
        <v>3</v>
      </c>
      <c r="G74" s="1074"/>
      <c r="H74" s="1074"/>
      <c r="I74" s="1074"/>
      <c r="J74" s="1075"/>
      <c r="K74" s="1073" t="s">
        <v>7</v>
      </c>
      <c r="L74" s="1074"/>
      <c r="M74" s="1074"/>
      <c r="N74" s="1074"/>
      <c r="O74" s="1075"/>
      <c r="P74" s="1073" t="s">
        <v>754</v>
      </c>
      <c r="Q74" s="1074"/>
      <c r="R74" s="1074"/>
      <c r="S74" s="1074"/>
      <c r="T74" s="1075"/>
      <c r="U74" s="227"/>
      <c r="W74" s="204"/>
      <c r="X74" s="501"/>
    </row>
    <row r="75" spans="1:24" ht="20.100000000000001" customHeight="1" thickBot="1" x14ac:dyDescent="0.3">
      <c r="A75" s="227"/>
      <c r="C75" s="1076" t="s">
        <v>476</v>
      </c>
      <c r="D75" s="1077"/>
      <c r="E75" s="1078"/>
      <c r="F75" s="1079" t="s">
        <v>477</v>
      </c>
      <c r="G75" s="1080"/>
      <c r="H75" s="1081" t="s">
        <v>99</v>
      </c>
      <c r="I75" s="1082"/>
      <c r="J75" s="1083"/>
      <c r="K75" s="1079" t="s">
        <v>477</v>
      </c>
      <c r="L75" s="1080"/>
      <c r="M75" s="1081" t="s">
        <v>99</v>
      </c>
      <c r="N75" s="1082"/>
      <c r="O75" s="1083"/>
      <c r="P75" s="1079" t="s">
        <v>477</v>
      </c>
      <c r="Q75" s="1080"/>
      <c r="R75" s="1081" t="s">
        <v>99</v>
      </c>
      <c r="S75" s="1082"/>
      <c r="T75" s="1083"/>
      <c r="U75" s="227"/>
      <c r="W75" s="204"/>
      <c r="X75" s="501"/>
    </row>
    <row r="76" spans="1:24" ht="39.950000000000003" customHeight="1" x14ac:dyDescent="0.25">
      <c r="A76" s="227"/>
      <c r="C76" s="1067" t="s">
        <v>4</v>
      </c>
      <c r="D76" s="1068"/>
      <c r="E76" s="1069"/>
      <c r="F76" s="1062"/>
      <c r="G76" s="1063"/>
      <c r="H76" s="1064"/>
      <c r="I76" s="1065"/>
      <c r="J76" s="1066"/>
      <c r="K76" s="1062"/>
      <c r="L76" s="1063"/>
      <c r="M76" s="1064"/>
      <c r="N76" s="1065"/>
      <c r="O76" s="1066"/>
      <c r="P76" s="1062"/>
      <c r="Q76" s="1063"/>
      <c r="R76" s="1064"/>
      <c r="S76" s="1065"/>
      <c r="T76" s="1066"/>
      <c r="U76" s="227"/>
      <c r="W76" s="204"/>
      <c r="X76" s="501"/>
    </row>
    <row r="77" spans="1:24" ht="39.950000000000003" customHeight="1" x14ac:dyDescent="0.25">
      <c r="A77" s="227"/>
      <c r="C77" s="1059" t="s">
        <v>5</v>
      </c>
      <c r="D77" s="1060"/>
      <c r="E77" s="1061"/>
      <c r="F77" s="1050"/>
      <c r="G77" s="1051"/>
      <c r="H77" s="1052"/>
      <c r="I77" s="1053"/>
      <c r="J77" s="1054"/>
      <c r="K77" s="1050"/>
      <c r="L77" s="1051"/>
      <c r="M77" s="1052"/>
      <c r="N77" s="1053"/>
      <c r="O77" s="1054"/>
      <c r="P77" s="1050"/>
      <c r="Q77" s="1051"/>
      <c r="R77" s="1052"/>
      <c r="S77" s="1053"/>
      <c r="T77" s="1054"/>
      <c r="U77" s="227"/>
      <c r="W77" s="204"/>
      <c r="X77" s="501"/>
    </row>
    <row r="78" spans="1:24" ht="39.950000000000003" customHeight="1" x14ac:dyDescent="0.25">
      <c r="A78" s="227"/>
      <c r="C78" s="1059" t="s">
        <v>299</v>
      </c>
      <c r="D78" s="1060"/>
      <c r="E78" s="1061"/>
      <c r="F78" s="1050"/>
      <c r="G78" s="1051"/>
      <c r="H78" s="1052"/>
      <c r="I78" s="1053"/>
      <c r="J78" s="1054"/>
      <c r="K78" s="1050"/>
      <c r="L78" s="1051"/>
      <c r="M78" s="1052"/>
      <c r="N78" s="1053"/>
      <c r="O78" s="1054"/>
      <c r="P78" s="1050"/>
      <c r="Q78" s="1051"/>
      <c r="R78" s="1052"/>
      <c r="S78" s="1053"/>
      <c r="T78" s="1054"/>
      <c r="U78" s="227"/>
      <c r="W78" s="204"/>
      <c r="X78" s="501"/>
    </row>
    <row r="79" spans="1:24" ht="39.950000000000003" customHeight="1" thickBot="1" x14ac:dyDescent="0.3">
      <c r="A79" s="227"/>
      <c r="C79" s="1055" t="s">
        <v>6</v>
      </c>
      <c r="D79" s="1056"/>
      <c r="E79" s="1057"/>
      <c r="F79" s="1058"/>
      <c r="G79" s="1047"/>
      <c r="H79" s="1046"/>
      <c r="I79" s="1048"/>
      <c r="J79" s="1049"/>
      <c r="K79" s="1058"/>
      <c r="L79" s="1047"/>
      <c r="M79" s="1046"/>
      <c r="N79" s="1048"/>
      <c r="O79" s="1049"/>
      <c r="P79" s="1058"/>
      <c r="Q79" s="1047"/>
      <c r="R79" s="1046"/>
      <c r="S79" s="1048"/>
      <c r="T79" s="1049"/>
      <c r="U79" s="227"/>
      <c r="W79" s="204"/>
      <c r="X79" s="501"/>
    </row>
    <row r="80" spans="1:24" ht="20.100000000000001" customHeight="1" thickBot="1" x14ac:dyDescent="0.3">
      <c r="A80" s="227"/>
      <c r="C80" s="489"/>
      <c r="T80" s="490"/>
      <c r="U80" s="227"/>
      <c r="W80" s="204"/>
      <c r="X80" s="501"/>
    </row>
    <row r="81" spans="1:24" ht="20.100000000000001" customHeight="1" x14ac:dyDescent="0.25">
      <c r="A81" s="227"/>
      <c r="C81" s="1030" t="s">
        <v>206</v>
      </c>
      <c r="D81" s="1031"/>
      <c r="E81" s="1032"/>
      <c r="F81" s="1036" t="s">
        <v>481</v>
      </c>
      <c r="G81" s="1037"/>
      <c r="H81" s="1036" t="s">
        <v>474</v>
      </c>
      <c r="I81" s="1038"/>
      <c r="J81" s="1039"/>
      <c r="M81" s="1084" t="s">
        <v>915</v>
      </c>
      <c r="N81" s="1085"/>
      <c r="O81" s="1085"/>
      <c r="P81" s="1085"/>
      <c r="Q81" s="1086"/>
      <c r="R81" s="1040" t="s">
        <v>916</v>
      </c>
      <c r="S81" s="1041"/>
      <c r="T81" s="1042"/>
      <c r="U81" s="227"/>
      <c r="W81" s="204"/>
      <c r="X81" s="501"/>
    </row>
    <row r="82" spans="1:24" ht="39.950000000000003" customHeight="1" thickBot="1" x14ac:dyDescent="0.3">
      <c r="A82" s="227"/>
      <c r="C82" s="1033"/>
      <c r="D82" s="1034"/>
      <c r="E82" s="1035"/>
      <c r="F82" s="1046"/>
      <c r="G82" s="1047"/>
      <c r="H82" s="1046"/>
      <c r="I82" s="1048"/>
      <c r="J82" s="1049"/>
      <c r="K82" s="488"/>
      <c r="L82" s="488"/>
      <c r="M82" s="1091" t="s">
        <v>941</v>
      </c>
      <c r="N82" s="1092"/>
      <c r="O82" s="1092"/>
      <c r="P82" s="1092"/>
      <c r="Q82" s="1093"/>
      <c r="R82" s="1043"/>
      <c r="S82" s="1044"/>
      <c r="T82" s="1045"/>
      <c r="U82" s="227"/>
      <c r="W82" s="204"/>
      <c r="X82" s="501"/>
    </row>
    <row r="83" spans="1:24" ht="33.950000000000003" customHeight="1" x14ac:dyDescent="0.25">
      <c r="A83" s="227"/>
      <c r="U83" s="227"/>
      <c r="W83" s="204"/>
      <c r="X83" s="501"/>
    </row>
    <row r="84" spans="1:24" ht="33.950000000000003" customHeight="1" thickBot="1" x14ac:dyDescent="0.3">
      <c r="A84" s="227"/>
      <c r="C84" s="491" t="s">
        <v>479</v>
      </c>
      <c r="U84" s="227"/>
      <c r="W84" s="204"/>
      <c r="X84" s="501"/>
    </row>
    <row r="85" spans="1:24" ht="20.100000000000001" customHeight="1" x14ac:dyDescent="0.25">
      <c r="A85" s="227"/>
      <c r="C85" s="1070" t="s">
        <v>475</v>
      </c>
      <c r="D85" s="1071"/>
      <c r="E85" s="1072"/>
      <c r="F85" s="1073" t="s">
        <v>3</v>
      </c>
      <c r="G85" s="1074"/>
      <c r="H85" s="1074"/>
      <c r="I85" s="1074"/>
      <c r="J85" s="1075"/>
      <c r="K85" s="1073" t="s">
        <v>7</v>
      </c>
      <c r="L85" s="1074"/>
      <c r="M85" s="1074"/>
      <c r="N85" s="1074"/>
      <c r="O85" s="1075"/>
      <c r="P85" s="1073" t="s">
        <v>754</v>
      </c>
      <c r="Q85" s="1074"/>
      <c r="R85" s="1074"/>
      <c r="S85" s="1074"/>
      <c r="T85" s="1075"/>
      <c r="U85" s="227"/>
      <c r="W85" s="204"/>
      <c r="X85" s="501"/>
    </row>
    <row r="86" spans="1:24" ht="20.100000000000001" customHeight="1" thickBot="1" x14ac:dyDescent="0.3">
      <c r="A86" s="227"/>
      <c r="C86" s="1076" t="s">
        <v>476</v>
      </c>
      <c r="D86" s="1077"/>
      <c r="E86" s="1078"/>
      <c r="F86" s="1079" t="s">
        <v>477</v>
      </c>
      <c r="G86" s="1080"/>
      <c r="H86" s="1081" t="s">
        <v>99</v>
      </c>
      <c r="I86" s="1082"/>
      <c r="J86" s="1083"/>
      <c r="K86" s="1079" t="s">
        <v>477</v>
      </c>
      <c r="L86" s="1080"/>
      <c r="M86" s="1081" t="s">
        <v>99</v>
      </c>
      <c r="N86" s="1082"/>
      <c r="O86" s="1083"/>
      <c r="P86" s="1079" t="s">
        <v>477</v>
      </c>
      <c r="Q86" s="1080"/>
      <c r="R86" s="1081" t="s">
        <v>99</v>
      </c>
      <c r="S86" s="1082"/>
      <c r="T86" s="1083"/>
      <c r="U86" s="227"/>
      <c r="W86" s="204"/>
      <c r="X86" s="501"/>
    </row>
    <row r="87" spans="1:24" ht="39.950000000000003" customHeight="1" x14ac:dyDescent="0.25">
      <c r="A87" s="227"/>
      <c r="C87" s="1067" t="s">
        <v>4</v>
      </c>
      <c r="D87" s="1068"/>
      <c r="E87" s="1069"/>
      <c r="F87" s="1062"/>
      <c r="G87" s="1063"/>
      <c r="H87" s="1064"/>
      <c r="I87" s="1065"/>
      <c r="J87" s="1066"/>
      <c r="K87" s="1062"/>
      <c r="L87" s="1063"/>
      <c r="M87" s="1064"/>
      <c r="N87" s="1065"/>
      <c r="O87" s="1066"/>
      <c r="P87" s="1062"/>
      <c r="Q87" s="1063"/>
      <c r="R87" s="1064"/>
      <c r="S87" s="1065"/>
      <c r="T87" s="1066"/>
      <c r="U87" s="227"/>
      <c r="W87" s="204"/>
      <c r="X87" s="501"/>
    </row>
    <row r="88" spans="1:24" ht="39.950000000000003" customHeight="1" x14ac:dyDescent="0.25">
      <c r="A88" s="227"/>
      <c r="C88" s="1059" t="s">
        <v>5</v>
      </c>
      <c r="D88" s="1060"/>
      <c r="E88" s="1061"/>
      <c r="F88" s="1050"/>
      <c r="G88" s="1051"/>
      <c r="H88" s="1052"/>
      <c r="I88" s="1053"/>
      <c r="J88" s="1054"/>
      <c r="K88" s="1050"/>
      <c r="L88" s="1051"/>
      <c r="M88" s="1052"/>
      <c r="N88" s="1053"/>
      <c r="O88" s="1054"/>
      <c r="P88" s="1050"/>
      <c r="Q88" s="1051"/>
      <c r="R88" s="1052"/>
      <c r="S88" s="1053"/>
      <c r="T88" s="1054"/>
      <c r="U88" s="227"/>
      <c r="W88" s="204"/>
      <c r="X88" s="501"/>
    </row>
    <row r="89" spans="1:24" ht="39.950000000000003" customHeight="1" x14ac:dyDescent="0.25">
      <c r="A89" s="227"/>
      <c r="C89" s="1059" t="s">
        <v>299</v>
      </c>
      <c r="D89" s="1060"/>
      <c r="E89" s="1061"/>
      <c r="F89" s="1050"/>
      <c r="G89" s="1051"/>
      <c r="H89" s="1052"/>
      <c r="I89" s="1053"/>
      <c r="J89" s="1054"/>
      <c r="K89" s="1050"/>
      <c r="L89" s="1051"/>
      <c r="M89" s="1052"/>
      <c r="N89" s="1053"/>
      <c r="O89" s="1054"/>
      <c r="P89" s="1050"/>
      <c r="Q89" s="1051"/>
      <c r="R89" s="1052"/>
      <c r="S89" s="1053"/>
      <c r="T89" s="1054"/>
      <c r="U89" s="227"/>
      <c r="W89" s="204"/>
      <c r="X89" s="501"/>
    </row>
    <row r="90" spans="1:24" ht="39.950000000000003" customHeight="1" thickBot="1" x14ac:dyDescent="0.3">
      <c r="A90" s="227"/>
      <c r="C90" s="1055" t="s">
        <v>6</v>
      </c>
      <c r="D90" s="1056"/>
      <c r="E90" s="1057"/>
      <c r="F90" s="1058"/>
      <c r="G90" s="1047"/>
      <c r="H90" s="1046"/>
      <c r="I90" s="1048"/>
      <c r="J90" s="1049"/>
      <c r="K90" s="1058"/>
      <c r="L90" s="1047"/>
      <c r="M90" s="1046"/>
      <c r="N90" s="1048"/>
      <c r="O90" s="1049"/>
      <c r="P90" s="1058"/>
      <c r="Q90" s="1047"/>
      <c r="R90" s="1046"/>
      <c r="S90" s="1048"/>
      <c r="T90" s="1049"/>
      <c r="U90" s="227"/>
      <c r="W90" s="204"/>
      <c r="X90" s="501"/>
    </row>
    <row r="91" spans="1:24" ht="20.100000000000001" customHeight="1" thickBot="1" x14ac:dyDescent="0.3">
      <c r="A91" s="227"/>
      <c r="C91" s="489"/>
      <c r="T91" s="490"/>
      <c r="U91" s="227"/>
      <c r="W91" s="204"/>
      <c r="X91" s="501"/>
    </row>
    <row r="92" spans="1:24" ht="20.100000000000001" customHeight="1" x14ac:dyDescent="0.25">
      <c r="A92" s="227"/>
      <c r="C92" s="1030" t="s">
        <v>206</v>
      </c>
      <c r="D92" s="1031"/>
      <c r="E92" s="1032"/>
      <c r="F92" s="1036" t="s">
        <v>481</v>
      </c>
      <c r="G92" s="1037"/>
      <c r="H92" s="1036" t="s">
        <v>474</v>
      </c>
      <c r="I92" s="1038"/>
      <c r="J92" s="1039"/>
      <c r="M92" s="1084" t="s">
        <v>915</v>
      </c>
      <c r="N92" s="1085"/>
      <c r="O92" s="1085"/>
      <c r="P92" s="1085"/>
      <c r="Q92" s="1086"/>
      <c r="R92" s="1040" t="s">
        <v>916</v>
      </c>
      <c r="S92" s="1041"/>
      <c r="T92" s="1042"/>
      <c r="U92" s="227"/>
      <c r="W92" s="204"/>
      <c r="X92" s="501"/>
    </row>
    <row r="93" spans="1:24" ht="39.950000000000003" customHeight="1" thickBot="1" x14ac:dyDescent="0.3">
      <c r="A93" s="227"/>
      <c r="C93" s="1033"/>
      <c r="D93" s="1034"/>
      <c r="E93" s="1035"/>
      <c r="F93" s="1046"/>
      <c r="G93" s="1047"/>
      <c r="H93" s="1046"/>
      <c r="I93" s="1048"/>
      <c r="J93" s="1049"/>
      <c r="K93" s="488"/>
      <c r="L93" s="488"/>
      <c r="M93" s="1091" t="s">
        <v>941</v>
      </c>
      <c r="N93" s="1092"/>
      <c r="O93" s="1092"/>
      <c r="P93" s="1092"/>
      <c r="Q93" s="1093"/>
      <c r="R93" s="1043"/>
      <c r="S93" s="1044"/>
      <c r="T93" s="1045"/>
      <c r="U93" s="227"/>
      <c r="W93" s="204"/>
      <c r="X93" s="501"/>
    </row>
    <row r="94" spans="1:24" ht="33.950000000000003" customHeight="1" x14ac:dyDescent="0.25">
      <c r="A94" s="227"/>
      <c r="U94" s="227"/>
      <c r="W94" s="204"/>
      <c r="X94" s="501"/>
    </row>
    <row r="95" spans="1:24" ht="33.950000000000003" customHeight="1" thickBot="1" x14ac:dyDescent="0.3">
      <c r="A95" s="227"/>
      <c r="C95" s="491" t="s">
        <v>478</v>
      </c>
      <c r="U95" s="227"/>
      <c r="W95" s="204"/>
      <c r="X95" s="501"/>
    </row>
    <row r="96" spans="1:24" ht="20.100000000000001" customHeight="1" x14ac:dyDescent="0.25">
      <c r="A96" s="227"/>
      <c r="C96" s="1070" t="s">
        <v>475</v>
      </c>
      <c r="D96" s="1071"/>
      <c r="E96" s="1072"/>
      <c r="F96" s="1073" t="s">
        <v>3</v>
      </c>
      <c r="G96" s="1074"/>
      <c r="H96" s="1074"/>
      <c r="I96" s="1074"/>
      <c r="J96" s="1075"/>
      <c r="K96" s="1073" t="s">
        <v>7</v>
      </c>
      <c r="L96" s="1074"/>
      <c r="M96" s="1074"/>
      <c r="N96" s="1074"/>
      <c r="O96" s="1075"/>
      <c r="P96" s="1073" t="s">
        <v>754</v>
      </c>
      <c r="Q96" s="1074"/>
      <c r="R96" s="1074"/>
      <c r="S96" s="1074"/>
      <c r="T96" s="1075"/>
      <c r="U96" s="227"/>
      <c r="W96" s="204"/>
      <c r="X96" s="501"/>
    </row>
    <row r="97" spans="1:24" ht="20.100000000000001" customHeight="1" thickBot="1" x14ac:dyDescent="0.3">
      <c r="A97" s="227"/>
      <c r="C97" s="1076" t="s">
        <v>476</v>
      </c>
      <c r="D97" s="1077"/>
      <c r="E97" s="1078"/>
      <c r="F97" s="1079" t="s">
        <v>477</v>
      </c>
      <c r="G97" s="1080"/>
      <c r="H97" s="1081" t="s">
        <v>99</v>
      </c>
      <c r="I97" s="1082"/>
      <c r="J97" s="1083"/>
      <c r="K97" s="1079" t="s">
        <v>477</v>
      </c>
      <c r="L97" s="1080"/>
      <c r="M97" s="1081" t="s">
        <v>99</v>
      </c>
      <c r="N97" s="1082"/>
      <c r="O97" s="1083"/>
      <c r="P97" s="1079" t="s">
        <v>477</v>
      </c>
      <c r="Q97" s="1080"/>
      <c r="R97" s="1081" t="s">
        <v>99</v>
      </c>
      <c r="S97" s="1082"/>
      <c r="T97" s="1083"/>
      <c r="U97" s="227"/>
      <c r="W97" s="204"/>
      <c r="X97" s="501"/>
    </row>
    <row r="98" spans="1:24" ht="39.950000000000003" customHeight="1" x14ac:dyDescent="0.25">
      <c r="A98" s="227"/>
      <c r="C98" s="1067" t="s">
        <v>4</v>
      </c>
      <c r="D98" s="1068"/>
      <c r="E98" s="1069"/>
      <c r="F98" s="1062"/>
      <c r="G98" s="1063"/>
      <c r="H98" s="1064"/>
      <c r="I98" s="1065"/>
      <c r="J98" s="1066"/>
      <c r="K98" s="1062"/>
      <c r="L98" s="1063"/>
      <c r="M98" s="1064"/>
      <c r="N98" s="1065"/>
      <c r="O98" s="1066"/>
      <c r="P98" s="1062"/>
      <c r="Q98" s="1063"/>
      <c r="R98" s="1064"/>
      <c r="S98" s="1065"/>
      <c r="T98" s="1066"/>
      <c r="U98" s="227"/>
      <c r="W98" s="204"/>
      <c r="X98" s="501"/>
    </row>
    <row r="99" spans="1:24" ht="39.950000000000003" customHeight="1" x14ac:dyDescent="0.25">
      <c r="A99" s="227"/>
      <c r="C99" s="1059" t="s">
        <v>5</v>
      </c>
      <c r="D99" s="1060"/>
      <c r="E99" s="1061"/>
      <c r="F99" s="1050"/>
      <c r="G99" s="1051"/>
      <c r="H99" s="1052"/>
      <c r="I99" s="1053"/>
      <c r="J99" s="1054"/>
      <c r="K99" s="1050"/>
      <c r="L99" s="1051"/>
      <c r="M99" s="1052"/>
      <c r="N99" s="1053"/>
      <c r="O99" s="1054"/>
      <c r="P99" s="1050"/>
      <c r="Q99" s="1051"/>
      <c r="R99" s="1052"/>
      <c r="S99" s="1053"/>
      <c r="T99" s="1054"/>
      <c r="U99" s="227"/>
      <c r="W99" s="204"/>
      <c r="X99" s="501"/>
    </row>
    <row r="100" spans="1:24" ht="39.950000000000003" customHeight="1" x14ac:dyDescent="0.25">
      <c r="A100" s="227"/>
      <c r="C100" s="1059" t="s">
        <v>299</v>
      </c>
      <c r="D100" s="1060"/>
      <c r="E100" s="1061"/>
      <c r="F100" s="1050"/>
      <c r="G100" s="1051"/>
      <c r="H100" s="1052"/>
      <c r="I100" s="1053"/>
      <c r="J100" s="1054"/>
      <c r="K100" s="1050"/>
      <c r="L100" s="1051"/>
      <c r="M100" s="1052"/>
      <c r="N100" s="1053"/>
      <c r="O100" s="1054"/>
      <c r="P100" s="1050"/>
      <c r="Q100" s="1051"/>
      <c r="R100" s="1052"/>
      <c r="S100" s="1053"/>
      <c r="T100" s="1054"/>
      <c r="U100" s="227"/>
      <c r="W100" s="204"/>
      <c r="X100" s="501"/>
    </row>
    <row r="101" spans="1:24" ht="39.950000000000003" customHeight="1" thickBot="1" x14ac:dyDescent="0.3">
      <c r="A101" s="227"/>
      <c r="C101" s="1055" t="s">
        <v>6</v>
      </c>
      <c r="D101" s="1056"/>
      <c r="E101" s="1057"/>
      <c r="F101" s="1058"/>
      <c r="G101" s="1047"/>
      <c r="H101" s="1046"/>
      <c r="I101" s="1048"/>
      <c r="J101" s="1049"/>
      <c r="K101" s="1058"/>
      <c r="L101" s="1047"/>
      <c r="M101" s="1046"/>
      <c r="N101" s="1048"/>
      <c r="O101" s="1049"/>
      <c r="P101" s="1058"/>
      <c r="Q101" s="1047"/>
      <c r="R101" s="1046"/>
      <c r="S101" s="1048"/>
      <c r="T101" s="1049"/>
      <c r="U101" s="227"/>
      <c r="W101" s="204"/>
      <c r="X101" s="501"/>
    </row>
    <row r="102" spans="1:24" ht="20.100000000000001" customHeight="1" thickBot="1" x14ac:dyDescent="0.3">
      <c r="A102" s="227"/>
      <c r="C102" s="489"/>
      <c r="T102" s="490"/>
      <c r="U102" s="227"/>
      <c r="W102" s="204"/>
      <c r="X102" s="501"/>
    </row>
    <row r="103" spans="1:24" ht="20.100000000000001" customHeight="1" x14ac:dyDescent="0.25">
      <c r="A103" s="227"/>
      <c r="C103" s="1030" t="s">
        <v>206</v>
      </c>
      <c r="D103" s="1031"/>
      <c r="E103" s="1032"/>
      <c r="F103" s="1036" t="s">
        <v>481</v>
      </c>
      <c r="G103" s="1037"/>
      <c r="H103" s="1036" t="s">
        <v>474</v>
      </c>
      <c r="I103" s="1038"/>
      <c r="J103" s="1039"/>
      <c r="M103" s="1084" t="s">
        <v>915</v>
      </c>
      <c r="N103" s="1085"/>
      <c r="O103" s="1085"/>
      <c r="P103" s="1085"/>
      <c r="Q103" s="1086"/>
      <c r="R103" s="1040" t="s">
        <v>916</v>
      </c>
      <c r="S103" s="1041"/>
      <c r="T103" s="1042"/>
      <c r="U103" s="227"/>
      <c r="W103" s="204"/>
      <c r="X103" s="501"/>
    </row>
    <row r="104" spans="1:24" ht="39.950000000000003" customHeight="1" thickBot="1" x14ac:dyDescent="0.3">
      <c r="A104" s="227"/>
      <c r="C104" s="1033"/>
      <c r="D104" s="1034"/>
      <c r="E104" s="1035"/>
      <c r="F104" s="1046"/>
      <c r="G104" s="1047"/>
      <c r="H104" s="1046"/>
      <c r="I104" s="1048"/>
      <c r="J104" s="1049"/>
      <c r="K104" s="488"/>
      <c r="L104" s="488"/>
      <c r="M104" s="1091" t="s">
        <v>941</v>
      </c>
      <c r="N104" s="1092"/>
      <c r="O104" s="1092"/>
      <c r="P104" s="1092"/>
      <c r="Q104" s="1093"/>
      <c r="R104" s="1043"/>
      <c r="S104" s="1044"/>
      <c r="T104" s="1045"/>
      <c r="U104" s="227"/>
      <c r="W104" s="204"/>
      <c r="X104" s="501"/>
    </row>
    <row r="105" spans="1:24" ht="18" customHeight="1" thickBot="1" x14ac:dyDescent="0.3">
      <c r="A105" s="227"/>
      <c r="B105" s="240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1"/>
      <c r="W105" s="204"/>
      <c r="X105" s="501"/>
    </row>
    <row r="106" spans="1:24" ht="9.9499999999999993" customHeight="1" x14ac:dyDescent="0.25">
      <c r="W106" s="204"/>
      <c r="X106" s="501"/>
    </row>
    <row r="107" spans="1:24" ht="5.0999999999999996" customHeight="1" x14ac:dyDescent="0.25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501"/>
    </row>
    <row r="108" spans="1:24" ht="45" customHeight="1" x14ac:dyDescent="0.25">
      <c r="A108" s="501"/>
      <c r="B108" s="501"/>
      <c r="C108" s="501"/>
      <c r="D108" s="501"/>
      <c r="E108" s="501"/>
      <c r="F108" s="1014" t="s">
        <v>713</v>
      </c>
      <c r="G108" s="1014"/>
      <c r="H108" s="1014"/>
      <c r="I108" s="1014"/>
      <c r="J108" s="1014"/>
      <c r="K108" s="1014"/>
      <c r="L108" s="1014"/>
      <c r="M108" s="1014"/>
      <c r="N108" s="1014"/>
      <c r="O108" s="1014"/>
      <c r="P108" s="1014"/>
      <c r="Q108" s="1014"/>
      <c r="R108" s="1014"/>
      <c r="S108" s="501"/>
      <c r="T108" s="501"/>
      <c r="U108" s="501"/>
      <c r="V108" s="501"/>
      <c r="W108" s="501"/>
      <c r="X108" s="501"/>
    </row>
    <row r="109" spans="1:24" ht="26.25" customHeight="1" x14ac:dyDescent="0.25">
      <c r="A109" s="502"/>
      <c r="B109" s="502"/>
      <c r="C109" s="502"/>
      <c r="D109" s="502"/>
      <c r="E109" s="502"/>
      <c r="F109" s="502"/>
      <c r="G109" s="502"/>
      <c r="H109" s="502"/>
      <c r="I109" s="502"/>
      <c r="J109" s="502"/>
      <c r="K109" s="502"/>
      <c r="L109" s="502"/>
      <c r="M109" s="502"/>
      <c r="N109" s="502"/>
      <c r="O109" s="502"/>
      <c r="P109" s="502"/>
      <c r="Q109" s="502"/>
      <c r="R109" s="502"/>
      <c r="S109" s="502"/>
      <c r="T109" s="502"/>
      <c r="U109" s="502"/>
      <c r="V109" s="502"/>
      <c r="W109" s="502"/>
      <c r="X109" s="502"/>
    </row>
  </sheetData>
  <sheetProtection algorithmName="SHA-512" hashValue="YfHt6j4mMu6Dq3vyUa9yDJvvtpcakhSPbwPlOOs2p1/3K9heVPyKoqfzDCIkAKpQbKWOuN2n2WpHuYp39z6a+A==" saltValue="aaT2TXkhlQhFB50KamFJqA==" spinCount="100000" sheet="1" objects="1" scenarios="1"/>
  <mergeCells count="198">
    <mergeCell ref="M104:Q104"/>
    <mergeCell ref="M103:Q103"/>
    <mergeCell ref="A1:B1"/>
    <mergeCell ref="R1:T1"/>
    <mergeCell ref="C59:M59"/>
    <mergeCell ref="C60:M60"/>
    <mergeCell ref="O60:T60"/>
    <mergeCell ref="O59:T59"/>
    <mergeCell ref="F65:G65"/>
    <mergeCell ref="F66:G66"/>
    <mergeCell ref="C63:E63"/>
    <mergeCell ref="C64:E64"/>
    <mergeCell ref="C65:E65"/>
    <mergeCell ref="C66:E66"/>
    <mergeCell ref="P63:T63"/>
    <mergeCell ref="P64:Q64"/>
    <mergeCell ref="R64:T64"/>
    <mergeCell ref="P65:Q65"/>
    <mergeCell ref="R65:T65"/>
    <mergeCell ref="P66:Q66"/>
    <mergeCell ref="R66:T66"/>
    <mergeCell ref="C56:T56"/>
    <mergeCell ref="P67:Q67"/>
    <mergeCell ref="R67:T67"/>
    <mergeCell ref="C67:E67"/>
    <mergeCell ref="F63:J63"/>
    <mergeCell ref="K63:O63"/>
    <mergeCell ref="F64:G64"/>
    <mergeCell ref="H64:J64"/>
    <mergeCell ref="K64:L64"/>
    <mergeCell ref="M64:O64"/>
    <mergeCell ref="H66:J66"/>
    <mergeCell ref="H67:J67"/>
    <mergeCell ref="K65:L65"/>
    <mergeCell ref="M65:O65"/>
    <mergeCell ref="K66:L66"/>
    <mergeCell ref="M66:O66"/>
    <mergeCell ref="K67:L67"/>
    <mergeCell ref="M67:O67"/>
    <mergeCell ref="F67:G67"/>
    <mergeCell ref="H65:J65"/>
    <mergeCell ref="O61:T61"/>
    <mergeCell ref="F70:G70"/>
    <mergeCell ref="H70:J70"/>
    <mergeCell ref="C70:E71"/>
    <mergeCell ref="F71:G71"/>
    <mergeCell ref="H71:J71"/>
    <mergeCell ref="P68:Q68"/>
    <mergeCell ref="R68:T68"/>
    <mergeCell ref="R70:T71"/>
    <mergeCell ref="C68:E68"/>
    <mergeCell ref="F68:G68"/>
    <mergeCell ref="H68:J68"/>
    <mergeCell ref="K68:L68"/>
    <mergeCell ref="M68:O68"/>
    <mergeCell ref="M70:Q70"/>
    <mergeCell ref="M71:Q71"/>
    <mergeCell ref="C74:E74"/>
    <mergeCell ref="F74:J74"/>
    <mergeCell ref="K74:O74"/>
    <mergeCell ref="P74:T74"/>
    <mergeCell ref="C75:E75"/>
    <mergeCell ref="F75:G75"/>
    <mergeCell ref="H75:J75"/>
    <mergeCell ref="K75:L75"/>
    <mergeCell ref="M75:O75"/>
    <mergeCell ref="P75:Q75"/>
    <mergeCell ref="R75:T75"/>
    <mergeCell ref="P76:Q76"/>
    <mergeCell ref="R76:T76"/>
    <mergeCell ref="C77:E77"/>
    <mergeCell ref="F77:G77"/>
    <mergeCell ref="H77:J77"/>
    <mergeCell ref="K77:L77"/>
    <mergeCell ref="M77:O77"/>
    <mergeCell ref="P77:Q77"/>
    <mergeCell ref="R77:T77"/>
    <mergeCell ref="C76:E76"/>
    <mergeCell ref="F76:G76"/>
    <mergeCell ref="H76:J76"/>
    <mergeCell ref="K76:L76"/>
    <mergeCell ref="M76:O76"/>
    <mergeCell ref="C81:E82"/>
    <mergeCell ref="F81:G81"/>
    <mergeCell ref="H81:J81"/>
    <mergeCell ref="R81:T82"/>
    <mergeCell ref="F82:G82"/>
    <mergeCell ref="H82:J82"/>
    <mergeCell ref="P78:Q78"/>
    <mergeCell ref="R78:T78"/>
    <mergeCell ref="C79:E79"/>
    <mergeCell ref="F79:G79"/>
    <mergeCell ref="H79:J79"/>
    <mergeCell ref="K79:L79"/>
    <mergeCell ref="M79:O79"/>
    <mergeCell ref="P79:Q79"/>
    <mergeCell ref="R79:T79"/>
    <mergeCell ref="C78:E78"/>
    <mergeCell ref="F78:G78"/>
    <mergeCell ref="H78:J78"/>
    <mergeCell ref="K78:L78"/>
    <mergeCell ref="M78:O78"/>
    <mergeCell ref="M81:Q81"/>
    <mergeCell ref="M82:Q82"/>
    <mergeCell ref="C85:E85"/>
    <mergeCell ref="F85:J85"/>
    <mergeCell ref="K85:O85"/>
    <mergeCell ref="P85:T85"/>
    <mergeCell ref="C86:E86"/>
    <mergeCell ref="F86:G86"/>
    <mergeCell ref="H86:J86"/>
    <mergeCell ref="K86:L86"/>
    <mergeCell ref="M86:O86"/>
    <mergeCell ref="P86:Q86"/>
    <mergeCell ref="R86:T86"/>
    <mergeCell ref="P87:Q87"/>
    <mergeCell ref="R87:T87"/>
    <mergeCell ref="C88:E88"/>
    <mergeCell ref="F88:G88"/>
    <mergeCell ref="H88:J88"/>
    <mergeCell ref="K88:L88"/>
    <mergeCell ref="M88:O88"/>
    <mergeCell ref="P88:Q88"/>
    <mergeCell ref="R88:T88"/>
    <mergeCell ref="C87:E87"/>
    <mergeCell ref="F87:G87"/>
    <mergeCell ref="H87:J87"/>
    <mergeCell ref="K87:L87"/>
    <mergeCell ref="M87:O87"/>
    <mergeCell ref="C92:E93"/>
    <mergeCell ref="F92:G92"/>
    <mergeCell ref="H92:J92"/>
    <mergeCell ref="R92:T93"/>
    <mergeCell ref="F93:G93"/>
    <mergeCell ref="H93:J93"/>
    <mergeCell ref="P89:Q89"/>
    <mergeCell ref="R89:T89"/>
    <mergeCell ref="C90:E90"/>
    <mergeCell ref="F90:G90"/>
    <mergeCell ref="H90:J90"/>
    <mergeCell ref="K90:L90"/>
    <mergeCell ref="M90:O90"/>
    <mergeCell ref="P90:Q90"/>
    <mergeCell ref="R90:T90"/>
    <mergeCell ref="C89:E89"/>
    <mergeCell ref="F89:G89"/>
    <mergeCell ref="H89:J89"/>
    <mergeCell ref="K89:L89"/>
    <mergeCell ref="M89:O89"/>
    <mergeCell ref="M92:Q92"/>
    <mergeCell ref="M93:Q93"/>
    <mergeCell ref="C96:E96"/>
    <mergeCell ref="F96:J96"/>
    <mergeCell ref="K96:O96"/>
    <mergeCell ref="P96:T96"/>
    <mergeCell ref="C97:E97"/>
    <mergeCell ref="F97:G97"/>
    <mergeCell ref="H97:J97"/>
    <mergeCell ref="K97:L97"/>
    <mergeCell ref="M97:O97"/>
    <mergeCell ref="P97:Q97"/>
    <mergeCell ref="R97:T97"/>
    <mergeCell ref="C99:E99"/>
    <mergeCell ref="F99:G99"/>
    <mergeCell ref="H99:J99"/>
    <mergeCell ref="K99:L99"/>
    <mergeCell ref="M99:O99"/>
    <mergeCell ref="P99:Q99"/>
    <mergeCell ref="R99:T99"/>
    <mergeCell ref="C98:E98"/>
    <mergeCell ref="F98:G98"/>
    <mergeCell ref="H98:J98"/>
    <mergeCell ref="K98:L98"/>
    <mergeCell ref="M98:O98"/>
    <mergeCell ref="Y1:AA1"/>
    <mergeCell ref="F108:R108"/>
    <mergeCell ref="C103:E104"/>
    <mergeCell ref="F103:G103"/>
    <mergeCell ref="H103:J103"/>
    <mergeCell ref="R103:T104"/>
    <mergeCell ref="F104:G104"/>
    <mergeCell ref="H104:J104"/>
    <mergeCell ref="P100:Q100"/>
    <mergeCell ref="R100:T100"/>
    <mergeCell ref="C101:E101"/>
    <mergeCell ref="F101:G101"/>
    <mergeCell ref="H101:J101"/>
    <mergeCell ref="K101:L101"/>
    <mergeCell ref="M101:O101"/>
    <mergeCell ref="P101:Q101"/>
    <mergeCell ref="R101:T101"/>
    <mergeCell ref="C100:E100"/>
    <mergeCell ref="F100:G100"/>
    <mergeCell ref="H100:J100"/>
    <mergeCell ref="K100:L100"/>
    <mergeCell ref="M100:O100"/>
    <mergeCell ref="P98:Q98"/>
    <mergeCell ref="R98:T98"/>
  </mergeCells>
  <conditionalFormatting sqref="A1:Q1">
    <cfRule type="expression" dxfId="128" priority="10">
      <formula>OR(VA_FEHLER_AB&gt;0,VA_FEHLER_C&gt;0)</formula>
    </cfRule>
  </conditionalFormatting>
  <conditionalFormatting sqref="Y1">
    <cfRule type="expression" dxfId="127" priority="1">
      <formula>V_ARBEIT=0</formula>
    </cfRule>
  </conditionalFormatting>
  <printOptions horizontalCentered="1" verticalCentered="1"/>
  <pageMargins left="0.70866141732283472" right="0.70866141732283472" top="0.78740157480314965" bottom="0.78740157480314965" header="0.39370078740157483" footer="0.27559055118110237"/>
  <pageSetup paperSize="9" orientation="portrait" errors="blank" horizontalDpi="1200" verticalDpi="1200" r:id="rId1"/>
  <headerFooter scaleWithDoc="0">
    <oddHeader>&amp;L&amp;13Bestandszählung&amp;R&amp;G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rowBreaks count="1" manualBreakCount="1">
    <brk id="58" max="16383" man="1"/>
  </rowBreaks>
  <colBreaks count="1" manualBreakCount="1">
    <brk id="2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84D7F-9C85-4161-BD07-494EDE5B2C56}">
  <sheetPr codeName="Sheet2">
    <tabColor theme="6" tint="0.59999389629810485"/>
    <pageSetUpPr autoPageBreaks="0" fitToPage="1"/>
  </sheetPr>
  <dimension ref="A1:AA134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5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D3" s="206"/>
      <c r="W3" s="204"/>
    </row>
    <row r="4" spans="1:27" ht="14.1" customHeight="1" thickBot="1" x14ac:dyDescent="0.3">
      <c r="B4" s="240"/>
      <c r="C4" s="240"/>
      <c r="W4" s="204"/>
    </row>
    <row r="5" spans="1:27" ht="14.1" customHeight="1" x14ac:dyDescent="0.25"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4"/>
      <c r="W5" s="204"/>
    </row>
    <row r="6" spans="1:27" ht="18" customHeight="1" x14ac:dyDescent="0.25">
      <c r="B6" s="245"/>
      <c r="C6" s="404" t="s">
        <v>256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6" customHeight="1" x14ac:dyDescent="0.25">
      <c r="B7" s="245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18" customHeight="1" x14ac:dyDescent="0.25">
      <c r="B8" s="245"/>
      <c r="C8" s="324" t="s">
        <v>46</v>
      </c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46"/>
      <c r="W8" s="204"/>
    </row>
    <row r="9" spans="1:27" ht="18" customHeight="1" x14ac:dyDescent="0.25">
      <c r="B9" s="245"/>
      <c r="C9" s="202" t="s">
        <v>257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  <c r="Z9" s="655"/>
    </row>
    <row r="10" spans="1:27" ht="18" customHeight="1" x14ac:dyDescent="0.25">
      <c r="B10" s="245"/>
      <c r="C10" s="202" t="s">
        <v>258</v>
      </c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46"/>
      <c r="W10" s="204"/>
    </row>
    <row r="11" spans="1:27" ht="18" customHeight="1" x14ac:dyDescent="0.25">
      <c r="B11" s="245"/>
      <c r="C11" s="202" t="s">
        <v>137</v>
      </c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46"/>
      <c r="W11" s="204"/>
    </row>
    <row r="12" spans="1:27" ht="6" customHeight="1" x14ac:dyDescent="0.25">
      <c r="B12" s="245"/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46"/>
      <c r="W12" s="204"/>
    </row>
    <row r="13" spans="1:27" ht="18" customHeight="1" x14ac:dyDescent="0.25">
      <c r="B13" s="245"/>
      <c r="C13" s="324" t="s">
        <v>268</v>
      </c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46"/>
      <c r="W13" s="204"/>
    </row>
    <row r="14" spans="1:27" ht="18" customHeight="1" x14ac:dyDescent="0.25">
      <c r="B14" s="245"/>
      <c r="C14" s="202" t="s">
        <v>276</v>
      </c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46"/>
      <c r="W14" s="204"/>
      <c r="X14" s="501"/>
    </row>
    <row r="15" spans="1:27" ht="18" customHeight="1" x14ac:dyDescent="0.25">
      <c r="B15" s="245"/>
      <c r="C15" s="202" t="s">
        <v>267</v>
      </c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46"/>
      <c r="W15" s="204"/>
      <c r="X15" s="501"/>
    </row>
    <row r="16" spans="1:27" ht="6" customHeight="1" x14ac:dyDescent="0.25">
      <c r="B16" s="245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46"/>
      <c r="W16" s="204"/>
      <c r="X16" s="501"/>
    </row>
    <row r="17" spans="1:24" ht="18" customHeight="1" x14ac:dyDescent="0.25">
      <c r="B17" s="245"/>
      <c r="C17" s="324" t="s">
        <v>47</v>
      </c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46"/>
      <c r="W17" s="204"/>
      <c r="X17" s="501"/>
    </row>
    <row r="18" spans="1:24" ht="18" customHeight="1" x14ac:dyDescent="0.25">
      <c r="B18" s="245"/>
      <c r="C18" s="202" t="s">
        <v>942</v>
      </c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46"/>
      <c r="W18" s="204"/>
      <c r="X18" s="501"/>
    </row>
    <row r="19" spans="1:24" ht="18" customHeight="1" x14ac:dyDescent="0.25">
      <c r="B19" s="245"/>
      <c r="C19" s="212" t="s">
        <v>943</v>
      </c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46"/>
      <c r="W19" s="204"/>
      <c r="X19" s="501"/>
    </row>
    <row r="20" spans="1:24" ht="18" customHeight="1" x14ac:dyDescent="0.25">
      <c r="B20" s="245"/>
      <c r="C20" s="202" t="s">
        <v>944</v>
      </c>
      <c r="D20" s="214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46"/>
      <c r="W20" s="204"/>
      <c r="X20" s="501"/>
    </row>
    <row r="21" spans="1:24" ht="18" customHeight="1" x14ac:dyDescent="0.25">
      <c r="B21" s="245"/>
      <c r="C21" s="202" t="s">
        <v>945</v>
      </c>
      <c r="D21" s="214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46"/>
      <c r="W21" s="204"/>
      <c r="X21" s="501"/>
    </row>
    <row r="22" spans="1:24" ht="18" customHeight="1" x14ac:dyDescent="0.25">
      <c r="B22" s="245"/>
      <c r="C22" s="202" t="s">
        <v>946</v>
      </c>
      <c r="D22" s="214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46"/>
      <c r="W22" s="204"/>
      <c r="X22" s="501"/>
    </row>
    <row r="23" spans="1:24" ht="14.1" customHeight="1" thickBot="1" x14ac:dyDescent="0.3">
      <c r="B23" s="247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9"/>
      <c r="W23" s="204"/>
      <c r="X23" s="501"/>
    </row>
    <row r="24" spans="1:24" ht="18" customHeight="1" thickBot="1" x14ac:dyDescent="0.3"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W24" s="204"/>
      <c r="X24" s="501"/>
    </row>
    <row r="25" spans="1:24" ht="18" customHeight="1" x14ac:dyDescent="0.25">
      <c r="B25" s="251"/>
      <c r="C25" s="252"/>
      <c r="D25" s="252"/>
      <c r="E25" s="252"/>
      <c r="F25" s="252"/>
      <c r="G25" s="252"/>
      <c r="H25" s="252"/>
      <c r="I25" s="250"/>
      <c r="J25" s="250"/>
      <c r="K25" s="250"/>
      <c r="L25" s="250"/>
      <c r="M25" s="253"/>
      <c r="N25" s="253"/>
      <c r="O25" s="253"/>
      <c r="P25" s="253"/>
      <c r="Q25" s="250"/>
      <c r="R25" s="250"/>
      <c r="S25" s="250"/>
      <c r="T25" s="250"/>
      <c r="U25" s="254"/>
      <c r="W25" s="204"/>
      <c r="X25" s="501"/>
    </row>
    <row r="26" spans="1:24" ht="24" customHeight="1" x14ac:dyDescent="0.25">
      <c r="B26" s="255"/>
      <c r="C26" s="1131" t="s">
        <v>140</v>
      </c>
      <c r="D26" s="1132"/>
      <c r="E26" s="1132"/>
      <c r="F26" s="1132"/>
      <c r="G26" s="1132"/>
      <c r="H26" s="1132"/>
      <c r="I26" s="1111" t="s">
        <v>141</v>
      </c>
      <c r="J26" s="1112"/>
      <c r="K26" s="1112"/>
      <c r="L26" s="1112"/>
      <c r="M26" s="1112"/>
      <c r="N26" s="1112"/>
      <c r="O26" s="1112"/>
      <c r="P26" s="1112"/>
      <c r="Q26" s="1112"/>
      <c r="R26" s="1112"/>
      <c r="S26" s="1112"/>
      <c r="T26" s="1113"/>
      <c r="U26" s="227"/>
      <c r="W26" s="204"/>
      <c r="X26" s="501"/>
    </row>
    <row r="27" spans="1:24" ht="24" customHeight="1" x14ac:dyDescent="0.25">
      <c r="B27" s="255"/>
      <c r="C27" s="1115" t="s">
        <v>841</v>
      </c>
      <c r="D27" s="1116"/>
      <c r="E27" s="1116"/>
      <c r="I27" s="1133" t="s">
        <v>142</v>
      </c>
      <c r="J27" s="1133"/>
      <c r="K27" s="1133"/>
      <c r="L27" s="1133"/>
      <c r="M27" s="1133"/>
      <c r="N27" s="1133"/>
      <c r="O27" s="1133"/>
      <c r="P27" s="1133"/>
      <c r="Q27" s="1133"/>
      <c r="R27" s="1133"/>
      <c r="S27" s="1133"/>
      <c r="T27" s="1133"/>
      <c r="U27" s="227"/>
      <c r="W27" s="204"/>
      <c r="X27" s="501"/>
    </row>
    <row r="28" spans="1:24" ht="14.1" customHeight="1" x14ac:dyDescent="0.25">
      <c r="A28" s="227"/>
      <c r="C28" s="1117"/>
      <c r="D28" s="1117"/>
      <c r="E28" s="1117"/>
      <c r="F28" s="1128" t="s">
        <v>836</v>
      </c>
      <c r="G28" s="1126"/>
      <c r="H28" s="1129"/>
      <c r="I28" s="1121" t="s">
        <v>837</v>
      </c>
      <c r="J28" s="1122"/>
      <c r="K28" s="1123"/>
      <c r="L28" s="1121" t="s">
        <v>838</v>
      </c>
      <c r="M28" s="1122"/>
      <c r="N28" s="1123"/>
      <c r="O28" s="1121" t="s">
        <v>839</v>
      </c>
      <c r="P28" s="1122"/>
      <c r="Q28" s="1124"/>
      <c r="R28" s="1125" t="s">
        <v>840</v>
      </c>
      <c r="S28" s="1126"/>
      <c r="T28" s="1127"/>
      <c r="U28" s="227"/>
      <c r="W28" s="204"/>
      <c r="X28" s="501"/>
    </row>
    <row r="29" spans="1:24" ht="14.1" customHeight="1" x14ac:dyDescent="0.25">
      <c r="A29" s="227"/>
      <c r="C29" s="1141" t="s">
        <v>834</v>
      </c>
      <c r="D29" s="1142"/>
      <c r="E29" s="1143"/>
      <c r="F29" s="1138"/>
      <c r="G29" s="1138"/>
      <c r="H29" s="1138"/>
      <c r="I29" s="1138"/>
      <c r="J29" s="1138"/>
      <c r="K29" s="1138"/>
      <c r="L29" s="1138"/>
      <c r="M29" s="1138"/>
      <c r="N29" s="1138"/>
      <c r="O29" s="1138"/>
      <c r="P29" s="1138"/>
      <c r="Q29" s="1138"/>
      <c r="R29" s="1138"/>
      <c r="S29" s="1138"/>
      <c r="T29" s="1139"/>
      <c r="U29" s="227"/>
      <c r="W29" s="204"/>
      <c r="X29" s="501"/>
    </row>
    <row r="30" spans="1:24" ht="14.1" customHeight="1" x14ac:dyDescent="0.25">
      <c r="A30" s="227"/>
      <c r="C30" s="1144" t="s">
        <v>835</v>
      </c>
      <c r="D30" s="1145"/>
      <c r="E30" s="1146"/>
      <c r="F30" s="1130"/>
      <c r="G30" s="1130"/>
      <c r="H30" s="1130"/>
      <c r="I30" s="1130"/>
      <c r="J30" s="1130"/>
      <c r="K30" s="1130"/>
      <c r="L30" s="1130"/>
      <c r="M30" s="1130"/>
      <c r="N30" s="1130"/>
      <c r="O30" s="1130"/>
      <c r="P30" s="1130"/>
      <c r="Q30" s="1130"/>
      <c r="R30" s="1130"/>
      <c r="S30" s="1130"/>
      <c r="T30" s="1140"/>
      <c r="U30" s="227"/>
      <c r="W30" s="204"/>
      <c r="X30" s="501"/>
    </row>
    <row r="31" spans="1:24" ht="14.1" customHeight="1" x14ac:dyDescent="0.25">
      <c r="A31" s="227"/>
      <c r="C31" s="1144" t="s">
        <v>833</v>
      </c>
      <c r="D31" s="1145"/>
      <c r="E31" s="1146"/>
      <c r="F31" s="1130"/>
      <c r="G31" s="1130"/>
      <c r="H31" s="1130"/>
      <c r="I31" s="1130"/>
      <c r="J31" s="1130"/>
      <c r="K31" s="1130"/>
      <c r="L31" s="1130"/>
      <c r="M31" s="1130"/>
      <c r="N31" s="1130"/>
      <c r="O31" s="1130"/>
      <c r="P31" s="1130"/>
      <c r="Q31" s="1130"/>
      <c r="R31" s="1130"/>
      <c r="S31" s="1130"/>
      <c r="T31" s="1140"/>
      <c r="U31" s="227"/>
      <c r="W31" s="204"/>
      <c r="X31" s="501"/>
    </row>
    <row r="32" spans="1:24" ht="14.1" customHeight="1" x14ac:dyDescent="0.25">
      <c r="A32" s="227"/>
      <c r="C32" s="1144" t="s">
        <v>947</v>
      </c>
      <c r="D32" s="1145"/>
      <c r="E32" s="1146"/>
      <c r="F32" s="1130"/>
      <c r="G32" s="1130"/>
      <c r="H32" s="1130"/>
      <c r="I32" s="1130"/>
      <c r="J32" s="1130"/>
      <c r="K32" s="1130"/>
      <c r="L32" s="1130"/>
      <c r="M32" s="1130"/>
      <c r="N32" s="1130"/>
      <c r="O32" s="1130"/>
      <c r="P32" s="1130"/>
      <c r="Q32" s="1130"/>
      <c r="R32" s="1130"/>
      <c r="S32" s="1130"/>
      <c r="T32" s="1140"/>
      <c r="U32" s="227"/>
      <c r="W32" s="204"/>
      <c r="X32" s="501"/>
    </row>
    <row r="33" spans="1:24" ht="14.1" customHeight="1" x14ac:dyDescent="0.25">
      <c r="A33" s="227"/>
      <c r="C33" s="1147" t="s">
        <v>948</v>
      </c>
      <c r="D33" s="1148"/>
      <c r="E33" s="1149"/>
      <c r="F33" s="1150"/>
      <c r="G33" s="1151"/>
      <c r="H33" s="1152"/>
      <c r="I33" s="1153"/>
      <c r="J33" s="1153"/>
      <c r="K33" s="1153"/>
      <c r="L33" s="1153"/>
      <c r="M33" s="1153"/>
      <c r="N33" s="1153"/>
      <c r="O33" s="1153"/>
      <c r="P33" s="1153"/>
      <c r="Q33" s="1153"/>
      <c r="R33" s="1153"/>
      <c r="S33" s="1153"/>
      <c r="T33" s="1154"/>
      <c r="U33" s="227"/>
      <c r="W33" s="204"/>
      <c r="X33" s="501"/>
    </row>
    <row r="34" spans="1:24" ht="18" customHeight="1" thickBot="1" x14ac:dyDescent="0.3">
      <c r="A34" s="227"/>
      <c r="B34" s="256"/>
      <c r="C34" s="240"/>
      <c r="D34" s="240"/>
      <c r="E34" s="240"/>
      <c r="F34" s="240"/>
      <c r="G34" s="240"/>
      <c r="H34" s="240"/>
      <c r="I34" s="906"/>
      <c r="J34" s="906"/>
      <c r="K34" s="906"/>
      <c r="L34" s="906"/>
      <c r="M34" s="906"/>
      <c r="N34" s="906"/>
      <c r="O34" s="906"/>
      <c r="P34" s="906"/>
      <c r="Q34" s="906"/>
      <c r="R34" s="906"/>
      <c r="S34" s="906"/>
      <c r="T34" s="906"/>
      <c r="U34" s="241"/>
      <c r="W34" s="204"/>
      <c r="X34" s="501"/>
    </row>
    <row r="35" spans="1:24" ht="18" customHeight="1" thickBot="1" x14ac:dyDescent="0.3">
      <c r="W35" s="204"/>
      <c r="X35" s="501"/>
    </row>
    <row r="36" spans="1:24" ht="32.1" customHeight="1" x14ac:dyDescent="0.25">
      <c r="B36" s="257"/>
      <c r="C36" s="258" t="s">
        <v>17</v>
      </c>
      <c r="D36" s="258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60"/>
      <c r="W36" s="204"/>
      <c r="X36" s="501"/>
    </row>
    <row r="37" spans="1:24" ht="12" customHeight="1" x14ac:dyDescent="0.25">
      <c r="B37" s="255"/>
      <c r="U37" s="227"/>
      <c r="W37" s="204"/>
      <c r="X37" s="501"/>
    </row>
    <row r="38" spans="1:24" ht="18" customHeight="1" x14ac:dyDescent="0.25">
      <c r="B38" s="255"/>
      <c r="C38" s="261" t="s">
        <v>690</v>
      </c>
      <c r="D38" s="793"/>
      <c r="E38" s="793"/>
      <c r="F38" s="793"/>
      <c r="G38" s="793"/>
      <c r="H38" s="793"/>
      <c r="I38" s="793"/>
      <c r="J38" s="793"/>
      <c r="K38" s="793"/>
      <c r="L38" s="794" t="s">
        <v>33</v>
      </c>
      <c r="M38" s="1103" t="s">
        <v>688</v>
      </c>
      <c r="N38" s="1104"/>
      <c r="O38" s="1104"/>
      <c r="P38" s="1104"/>
      <c r="Q38" s="1104"/>
      <c r="R38" s="1104"/>
      <c r="S38" s="1104"/>
      <c r="T38" s="1105"/>
      <c r="U38" s="227"/>
      <c r="W38" s="204"/>
      <c r="X38" s="501"/>
    </row>
    <row r="39" spans="1:24" ht="18" customHeight="1" x14ac:dyDescent="0.25">
      <c r="B39" s="255"/>
      <c r="C39" s="263" t="s">
        <v>689</v>
      </c>
      <c r="D39" s="264"/>
      <c r="N39" s="265"/>
      <c r="O39" s="265"/>
      <c r="P39" s="265"/>
      <c r="Q39" s="265"/>
      <c r="R39" s="265"/>
      <c r="S39" s="265"/>
      <c r="T39" s="265"/>
      <c r="U39" s="227"/>
      <c r="W39" s="204"/>
      <c r="X39" s="501"/>
    </row>
    <row r="40" spans="1:24" ht="14.1" customHeight="1" x14ac:dyDescent="0.25">
      <c r="B40" s="255"/>
      <c r="M40" s="266" t="s">
        <v>34</v>
      </c>
      <c r="N40" s="266" t="s">
        <v>34</v>
      </c>
      <c r="O40" s="266" t="s">
        <v>34</v>
      </c>
      <c r="P40" s="266" t="s">
        <v>34</v>
      </c>
      <c r="Q40" s="266" t="s">
        <v>34</v>
      </c>
      <c r="R40" s="266" t="s">
        <v>34</v>
      </c>
      <c r="S40" s="266" t="s">
        <v>34</v>
      </c>
      <c r="T40" s="266" t="s">
        <v>34</v>
      </c>
      <c r="U40" s="227"/>
      <c r="W40" s="204"/>
      <c r="X40" s="501"/>
    </row>
    <row r="41" spans="1:24" ht="24" customHeight="1" x14ac:dyDescent="0.25">
      <c r="B41" s="255"/>
      <c r="C41" s="267" t="s">
        <v>27</v>
      </c>
      <c r="D41" s="1137" t="str">
        <f>TBS_1a</f>
        <v/>
      </c>
      <c r="E41" s="1137"/>
      <c r="F41" s="1137"/>
      <c r="G41" s="1137"/>
      <c r="H41" s="1137"/>
      <c r="I41" s="1137"/>
      <c r="J41" s="267" t="s">
        <v>27</v>
      </c>
      <c r="M41" s="267" t="s">
        <v>27</v>
      </c>
      <c r="N41" s="1137" t="str">
        <f>TBS_1b</f>
        <v/>
      </c>
      <c r="O41" s="1137"/>
      <c r="P41" s="1137"/>
      <c r="Q41" s="1137"/>
      <c r="R41" s="1137"/>
      <c r="S41" s="1137"/>
      <c r="T41" s="267" t="s">
        <v>27</v>
      </c>
      <c r="U41" s="227"/>
      <c r="W41" s="204"/>
      <c r="X41" s="501"/>
    </row>
    <row r="42" spans="1:24" ht="14.1" customHeight="1" x14ac:dyDescent="0.25">
      <c r="B42" s="255"/>
      <c r="D42" s="268"/>
      <c r="E42" s="268"/>
      <c r="F42" s="268"/>
      <c r="G42" s="268"/>
      <c r="H42" s="268"/>
      <c r="I42" s="268"/>
      <c r="N42" s="268"/>
      <c r="O42" s="268"/>
      <c r="P42" s="268"/>
      <c r="Q42" s="268"/>
      <c r="R42" s="268"/>
      <c r="S42" s="268"/>
      <c r="U42" s="227"/>
      <c r="W42" s="204"/>
      <c r="X42" s="501"/>
    </row>
    <row r="43" spans="1:24" ht="24" customHeight="1" x14ac:dyDescent="0.25">
      <c r="B43" s="255"/>
      <c r="C43" s="1134" t="s">
        <v>282</v>
      </c>
      <c r="D43" s="1135"/>
      <c r="E43" s="1135"/>
      <c r="F43" s="1135"/>
      <c r="G43" s="1135"/>
      <c r="H43" s="1135"/>
      <c r="I43" s="1135"/>
      <c r="J43" s="1136"/>
      <c r="K43" s="269"/>
      <c r="L43" s="270"/>
      <c r="M43" s="1111" t="s">
        <v>282</v>
      </c>
      <c r="N43" s="1112"/>
      <c r="O43" s="1112"/>
      <c r="P43" s="1112"/>
      <c r="Q43" s="1112"/>
      <c r="R43" s="1112"/>
      <c r="S43" s="1112"/>
      <c r="T43" s="1113"/>
      <c r="U43" s="227"/>
      <c r="W43" s="204"/>
      <c r="X43" s="501"/>
    </row>
    <row r="44" spans="1:24" ht="18" customHeight="1" x14ac:dyDescent="0.25">
      <c r="B44" s="255"/>
      <c r="C44" s="1110" t="s">
        <v>283</v>
      </c>
      <c r="D44" s="1110"/>
      <c r="E44" s="1110"/>
      <c r="F44" s="1110"/>
      <c r="G44" s="1110"/>
      <c r="H44" s="1110"/>
      <c r="I44" s="1110"/>
      <c r="J44" s="1110"/>
      <c r="K44" s="271"/>
      <c r="L44" s="237"/>
      <c r="M44" s="1110" t="s">
        <v>283</v>
      </c>
      <c r="N44" s="1110"/>
      <c r="O44" s="1110"/>
      <c r="P44" s="1110"/>
      <c r="Q44" s="1110"/>
      <c r="R44" s="1110"/>
      <c r="S44" s="1110"/>
      <c r="T44" s="1110"/>
      <c r="U44" s="239"/>
      <c r="W44" s="204"/>
      <c r="X44" s="501"/>
    </row>
    <row r="45" spans="1:24" ht="24" customHeight="1" x14ac:dyDescent="0.25">
      <c r="B45" s="272"/>
      <c r="C45" s="273" t="s">
        <v>143</v>
      </c>
      <c r="D45" s="273"/>
      <c r="E45" s="273"/>
      <c r="F45" s="273"/>
      <c r="G45" s="273"/>
      <c r="H45" s="273"/>
      <c r="I45" s="273"/>
      <c r="J45" s="273"/>
      <c r="K45" s="274"/>
      <c r="L45" s="273"/>
      <c r="M45" s="273" t="s">
        <v>143</v>
      </c>
      <c r="N45" s="273"/>
      <c r="O45" s="273"/>
      <c r="P45" s="273"/>
      <c r="Q45" s="273"/>
      <c r="R45" s="273"/>
      <c r="S45" s="273"/>
      <c r="T45" s="273"/>
      <c r="U45" s="235"/>
      <c r="W45" s="204"/>
      <c r="X45" s="501"/>
    </row>
    <row r="46" spans="1:24" ht="14.1" customHeight="1" x14ac:dyDescent="0.25">
      <c r="B46" s="255"/>
      <c r="E46" s="1114" t="str">
        <f>TBS_F11</f>
        <v/>
      </c>
      <c r="F46" s="1114"/>
      <c r="G46" s="1114"/>
      <c r="H46" s="1114"/>
      <c r="I46" s="1114"/>
      <c r="J46" s="1114"/>
      <c r="K46" s="269"/>
      <c r="O46" s="1114" t="str">
        <f>TBS_F21</f>
        <v/>
      </c>
      <c r="P46" s="1114"/>
      <c r="Q46" s="1114"/>
      <c r="R46" s="1114"/>
      <c r="S46" s="1114"/>
      <c r="T46" s="1114"/>
      <c r="U46" s="227"/>
      <c r="W46" s="204"/>
      <c r="X46" s="501"/>
    </row>
    <row r="47" spans="1:24" ht="14.1" customHeight="1" x14ac:dyDescent="0.25">
      <c r="B47" s="255"/>
      <c r="D47" s="275" t="s">
        <v>240</v>
      </c>
      <c r="E47" s="1106" t="s">
        <v>3</v>
      </c>
      <c r="F47" s="1107"/>
      <c r="G47" s="1106" t="s">
        <v>7</v>
      </c>
      <c r="H47" s="1107"/>
      <c r="I47" s="1108" t="s">
        <v>754</v>
      </c>
      <c r="J47" s="1109"/>
      <c r="K47" s="269"/>
      <c r="N47" s="275" t="s">
        <v>240</v>
      </c>
      <c r="O47" s="1106" t="s">
        <v>3</v>
      </c>
      <c r="P47" s="1107"/>
      <c r="Q47" s="1106" t="s">
        <v>7</v>
      </c>
      <c r="R47" s="1107"/>
      <c r="S47" s="1108" t="s">
        <v>754</v>
      </c>
      <c r="T47" s="1109"/>
      <c r="U47" s="227"/>
      <c r="W47" s="204"/>
      <c r="X47" s="501"/>
    </row>
    <row r="48" spans="1:24" ht="24" customHeight="1" x14ac:dyDescent="0.25">
      <c r="B48" s="255"/>
      <c r="C48" s="276" t="s">
        <v>239</v>
      </c>
      <c r="D48" s="277"/>
      <c r="E48" s="278" t="s">
        <v>20</v>
      </c>
      <c r="F48" s="279" t="s">
        <v>99</v>
      </c>
      <c r="G48" s="278" t="s">
        <v>20</v>
      </c>
      <c r="H48" s="279" t="s">
        <v>99</v>
      </c>
      <c r="I48" s="278" t="s">
        <v>20</v>
      </c>
      <c r="J48" s="279" t="s">
        <v>99</v>
      </c>
      <c r="K48" s="269"/>
      <c r="M48" s="276" t="s">
        <v>239</v>
      </c>
      <c r="N48" s="277"/>
      <c r="O48" s="278" t="s">
        <v>20</v>
      </c>
      <c r="P48" s="279" t="s">
        <v>99</v>
      </c>
      <c r="Q48" s="278" t="s">
        <v>20</v>
      </c>
      <c r="R48" s="279" t="s">
        <v>99</v>
      </c>
      <c r="S48" s="278" t="s">
        <v>20</v>
      </c>
      <c r="T48" s="279" t="s">
        <v>99</v>
      </c>
      <c r="U48" s="227"/>
      <c r="W48" s="204"/>
      <c r="X48" s="501"/>
    </row>
    <row r="49" spans="2:24" ht="18" customHeight="1" x14ac:dyDescent="0.25">
      <c r="B49" s="255"/>
      <c r="C49" s="280" t="s">
        <v>4</v>
      </c>
      <c r="E49" s="281"/>
      <c r="F49" s="282"/>
      <c r="G49" s="281"/>
      <c r="H49" s="282"/>
      <c r="I49" s="281"/>
      <c r="J49" s="282"/>
      <c r="K49" s="269"/>
      <c r="M49" s="280" t="s">
        <v>4</v>
      </c>
      <c r="O49" s="281"/>
      <c r="P49" s="282"/>
      <c r="Q49" s="281"/>
      <c r="R49" s="282"/>
      <c r="S49" s="281"/>
      <c r="T49" s="282"/>
      <c r="U49" s="227"/>
      <c r="W49" s="204"/>
      <c r="X49" s="501"/>
    </row>
    <row r="50" spans="2:24" ht="18" customHeight="1" x14ac:dyDescent="0.25">
      <c r="B50" s="255"/>
      <c r="C50" s="280" t="s">
        <v>5</v>
      </c>
      <c r="E50" s="281"/>
      <c r="F50" s="282"/>
      <c r="G50" s="281"/>
      <c r="H50" s="282"/>
      <c r="I50" s="281"/>
      <c r="J50" s="282"/>
      <c r="K50" s="269"/>
      <c r="M50" s="280" t="s">
        <v>5</v>
      </c>
      <c r="O50" s="281"/>
      <c r="P50" s="282"/>
      <c r="Q50" s="281"/>
      <c r="R50" s="282"/>
      <c r="S50" s="281"/>
      <c r="T50" s="282"/>
      <c r="U50" s="227"/>
      <c r="W50" s="204"/>
      <c r="X50" s="501"/>
    </row>
    <row r="51" spans="2:24" ht="18" customHeight="1" x14ac:dyDescent="0.25">
      <c r="B51" s="255"/>
      <c r="C51" s="280" t="s">
        <v>299</v>
      </c>
      <c r="E51" s="281"/>
      <c r="F51" s="282"/>
      <c r="G51" s="281"/>
      <c r="H51" s="282"/>
      <c r="I51" s="281"/>
      <c r="J51" s="282"/>
      <c r="K51" s="269"/>
      <c r="M51" s="280" t="s">
        <v>299</v>
      </c>
      <c r="O51" s="281"/>
      <c r="P51" s="282"/>
      <c r="Q51" s="281"/>
      <c r="R51" s="282"/>
      <c r="S51" s="281"/>
      <c r="T51" s="282"/>
      <c r="U51" s="227"/>
      <c r="W51" s="204"/>
      <c r="X51" s="501"/>
    </row>
    <row r="52" spans="2:24" ht="18" customHeight="1" x14ac:dyDescent="0.25">
      <c r="B52" s="255"/>
      <c r="C52" s="283" t="s">
        <v>6</v>
      </c>
      <c r="D52" s="277"/>
      <c r="E52" s="281"/>
      <c r="F52" s="282"/>
      <c r="G52" s="281"/>
      <c r="H52" s="282"/>
      <c r="I52" s="281"/>
      <c r="J52" s="282"/>
      <c r="K52" s="269"/>
      <c r="M52" s="283" t="s">
        <v>6</v>
      </c>
      <c r="N52" s="277"/>
      <c r="O52" s="281"/>
      <c r="P52" s="282"/>
      <c r="Q52" s="281"/>
      <c r="R52" s="282"/>
      <c r="S52" s="281"/>
      <c r="T52" s="282"/>
      <c r="U52" s="227"/>
      <c r="W52" s="204"/>
      <c r="X52" s="501"/>
    </row>
    <row r="53" spans="2:24" ht="3.95" customHeight="1" x14ac:dyDescent="0.25">
      <c r="B53" s="255"/>
      <c r="K53" s="269"/>
      <c r="U53" s="227"/>
      <c r="W53" s="204"/>
      <c r="X53" s="501"/>
    </row>
    <row r="54" spans="2:24" ht="18" customHeight="1" x14ac:dyDescent="0.25">
      <c r="B54" s="255"/>
      <c r="C54" s="284" t="s">
        <v>206</v>
      </c>
      <c r="E54" s="281"/>
      <c r="F54" s="282"/>
      <c r="G54" s="285" t="s">
        <v>949</v>
      </c>
      <c r="K54" s="269"/>
      <c r="M54" s="284" t="s">
        <v>206</v>
      </c>
      <c r="O54" s="281"/>
      <c r="P54" s="282"/>
      <c r="Q54" s="285" t="s">
        <v>949</v>
      </c>
      <c r="U54" s="227"/>
      <c r="W54" s="204"/>
      <c r="X54" s="501"/>
    </row>
    <row r="55" spans="2:24" ht="3.95" customHeight="1" x14ac:dyDescent="0.25">
      <c r="B55" s="255"/>
      <c r="C55" s="280"/>
      <c r="E55" s="286"/>
      <c r="F55" s="286"/>
      <c r="G55" s="287"/>
      <c r="K55" s="269"/>
      <c r="M55" s="280"/>
      <c r="O55" s="286"/>
      <c r="P55" s="286"/>
      <c r="Q55" s="287"/>
      <c r="U55" s="227"/>
      <c r="W55" s="204"/>
      <c r="X55" s="501"/>
    </row>
    <row r="56" spans="2:24" ht="18" customHeight="1" x14ac:dyDescent="0.25">
      <c r="B56" s="255"/>
      <c r="C56" s="280" t="s">
        <v>0</v>
      </c>
      <c r="E56" s="288" t="s">
        <v>45</v>
      </c>
      <c r="F56" s="289"/>
      <c r="G56" s="285" t="s">
        <v>950</v>
      </c>
      <c r="H56" s="290"/>
      <c r="K56" s="269"/>
      <c r="M56" s="280" t="s">
        <v>0</v>
      </c>
      <c r="O56" s="288" t="s">
        <v>45</v>
      </c>
      <c r="P56" s="289"/>
      <c r="Q56" s="285" t="s">
        <v>950</v>
      </c>
      <c r="R56" s="290"/>
      <c r="U56" s="227"/>
      <c r="W56" s="204"/>
      <c r="X56" s="501"/>
    </row>
    <row r="57" spans="2:24" ht="3.95" customHeight="1" x14ac:dyDescent="0.25">
      <c r="B57" s="255"/>
      <c r="C57" s="280"/>
      <c r="E57" s="288"/>
      <c r="F57" s="698"/>
      <c r="G57" s="285"/>
      <c r="H57" s="290"/>
      <c r="K57" s="269"/>
      <c r="M57" s="280"/>
      <c r="O57" s="288"/>
      <c r="P57" s="698"/>
      <c r="Q57" s="285"/>
      <c r="R57" s="290"/>
      <c r="U57" s="227"/>
      <c r="W57" s="204"/>
      <c r="X57" s="501"/>
    </row>
    <row r="58" spans="2:24" ht="18" customHeight="1" x14ac:dyDescent="0.25">
      <c r="B58" s="255"/>
      <c r="C58" s="280" t="s">
        <v>917</v>
      </c>
      <c r="E58" s="288"/>
      <c r="F58" s="289"/>
      <c r="G58" s="285" t="s">
        <v>951</v>
      </c>
      <c r="H58" s="290"/>
      <c r="K58" s="269"/>
      <c r="M58" s="280" t="s">
        <v>917</v>
      </c>
      <c r="O58" s="288"/>
      <c r="P58" s="289"/>
      <c r="Q58" s="285" t="s">
        <v>951</v>
      </c>
      <c r="R58" s="290"/>
      <c r="U58" s="227"/>
      <c r="W58" s="204"/>
      <c r="X58" s="501"/>
    </row>
    <row r="59" spans="2:24" ht="14.1" customHeight="1" x14ac:dyDescent="0.25">
      <c r="B59" s="236"/>
      <c r="C59" s="237"/>
      <c r="D59" s="237"/>
      <c r="E59" s="237"/>
      <c r="F59" s="237"/>
      <c r="G59" s="237"/>
      <c r="H59" s="237"/>
      <c r="I59" s="237"/>
      <c r="J59" s="237"/>
      <c r="K59" s="271"/>
      <c r="L59" s="237"/>
      <c r="M59" s="237"/>
      <c r="N59" s="237"/>
      <c r="O59" s="237"/>
      <c r="P59" s="237"/>
      <c r="Q59" s="237"/>
      <c r="R59" s="237"/>
      <c r="S59" s="237"/>
      <c r="T59" s="237"/>
      <c r="U59" s="239"/>
      <c r="W59" s="204"/>
      <c r="X59" s="501"/>
    </row>
    <row r="60" spans="2:24" ht="24" customHeight="1" x14ac:dyDescent="0.25">
      <c r="B60" s="291"/>
      <c r="C60" s="273" t="s">
        <v>144</v>
      </c>
      <c r="D60" s="273"/>
      <c r="E60" s="273"/>
      <c r="F60" s="273"/>
      <c r="G60" s="273"/>
      <c r="H60" s="273"/>
      <c r="I60" s="273"/>
      <c r="J60" s="273"/>
      <c r="K60" s="274"/>
      <c r="L60" s="273"/>
      <c r="M60" s="273" t="s">
        <v>144</v>
      </c>
      <c r="N60" s="273"/>
      <c r="O60" s="273"/>
      <c r="P60" s="273"/>
      <c r="Q60" s="273"/>
      <c r="R60" s="273"/>
      <c r="S60" s="273"/>
      <c r="T60" s="273"/>
      <c r="U60" s="235"/>
      <c r="W60" s="204"/>
      <c r="X60" s="501"/>
    </row>
    <row r="61" spans="2:24" ht="14.1" customHeight="1" x14ac:dyDescent="0.25">
      <c r="B61" s="255"/>
      <c r="E61" s="1114" t="str">
        <f>TBS_F12</f>
        <v/>
      </c>
      <c r="F61" s="1114"/>
      <c r="G61" s="1114"/>
      <c r="H61" s="1114"/>
      <c r="I61" s="1114"/>
      <c r="J61" s="1114"/>
      <c r="K61" s="269"/>
      <c r="O61" s="1114" t="str">
        <f>TBS_F22</f>
        <v/>
      </c>
      <c r="P61" s="1114"/>
      <c r="Q61" s="1114"/>
      <c r="R61" s="1114"/>
      <c r="S61" s="1114"/>
      <c r="T61" s="1114"/>
      <c r="U61" s="227"/>
      <c r="W61" s="204"/>
      <c r="X61" s="501"/>
    </row>
    <row r="62" spans="2:24" ht="14.1" customHeight="1" x14ac:dyDescent="0.25">
      <c r="B62" s="255"/>
      <c r="D62" s="275" t="s">
        <v>240</v>
      </c>
      <c r="E62" s="1106" t="s">
        <v>3</v>
      </c>
      <c r="F62" s="1107"/>
      <c r="G62" s="1106" t="s">
        <v>7</v>
      </c>
      <c r="H62" s="1107"/>
      <c r="I62" s="1108" t="s">
        <v>754</v>
      </c>
      <c r="J62" s="1109"/>
      <c r="K62" s="269"/>
      <c r="N62" s="275" t="s">
        <v>240</v>
      </c>
      <c r="O62" s="1106" t="s">
        <v>3</v>
      </c>
      <c r="P62" s="1107"/>
      <c r="Q62" s="1106" t="s">
        <v>7</v>
      </c>
      <c r="R62" s="1107"/>
      <c r="S62" s="1108" t="s">
        <v>754</v>
      </c>
      <c r="T62" s="1109"/>
      <c r="U62" s="227"/>
      <c r="W62" s="204"/>
      <c r="X62" s="501"/>
    </row>
    <row r="63" spans="2:24" ht="24" customHeight="1" x14ac:dyDescent="0.25">
      <c r="B63" s="255"/>
      <c r="C63" s="276" t="s">
        <v>239</v>
      </c>
      <c r="D63" s="277"/>
      <c r="E63" s="278" t="s">
        <v>20</v>
      </c>
      <c r="F63" s="279" t="s">
        <v>99</v>
      </c>
      <c r="G63" s="278" t="s">
        <v>20</v>
      </c>
      <c r="H63" s="279" t="s">
        <v>99</v>
      </c>
      <c r="I63" s="278" t="s">
        <v>20</v>
      </c>
      <c r="J63" s="279" t="s">
        <v>99</v>
      </c>
      <c r="K63" s="269"/>
      <c r="M63" s="276" t="s">
        <v>239</v>
      </c>
      <c r="N63" s="277"/>
      <c r="O63" s="278" t="s">
        <v>20</v>
      </c>
      <c r="P63" s="279" t="s">
        <v>99</v>
      </c>
      <c r="Q63" s="278" t="s">
        <v>20</v>
      </c>
      <c r="R63" s="279" t="s">
        <v>99</v>
      </c>
      <c r="S63" s="278" t="s">
        <v>20</v>
      </c>
      <c r="T63" s="279" t="s">
        <v>99</v>
      </c>
      <c r="U63" s="227"/>
      <c r="W63" s="204"/>
      <c r="X63" s="501"/>
    </row>
    <row r="64" spans="2:24" ht="18" customHeight="1" x14ac:dyDescent="0.25">
      <c r="B64" s="255"/>
      <c r="C64" s="280" t="s">
        <v>4</v>
      </c>
      <c r="E64" s="281"/>
      <c r="F64" s="282"/>
      <c r="G64" s="281"/>
      <c r="H64" s="282"/>
      <c r="I64" s="281"/>
      <c r="J64" s="282"/>
      <c r="K64" s="269"/>
      <c r="M64" s="280" t="s">
        <v>4</v>
      </c>
      <c r="O64" s="281"/>
      <c r="P64" s="282"/>
      <c r="Q64" s="281"/>
      <c r="R64" s="282"/>
      <c r="S64" s="281"/>
      <c r="T64" s="282"/>
      <c r="U64" s="227"/>
      <c r="W64" s="204"/>
      <c r="X64" s="501"/>
    </row>
    <row r="65" spans="2:24" ht="18" customHeight="1" x14ac:dyDescent="0.25">
      <c r="B65" s="255"/>
      <c r="C65" s="280" t="s">
        <v>5</v>
      </c>
      <c r="E65" s="281"/>
      <c r="F65" s="282"/>
      <c r="G65" s="281"/>
      <c r="H65" s="282"/>
      <c r="I65" s="281"/>
      <c r="J65" s="282"/>
      <c r="K65" s="269"/>
      <c r="M65" s="280" t="s">
        <v>5</v>
      </c>
      <c r="O65" s="281"/>
      <c r="P65" s="282"/>
      <c r="Q65" s="281"/>
      <c r="R65" s="282"/>
      <c r="S65" s="281"/>
      <c r="T65" s="282"/>
      <c r="U65" s="227"/>
      <c r="W65" s="204"/>
      <c r="X65" s="501"/>
    </row>
    <row r="66" spans="2:24" ht="18" customHeight="1" x14ac:dyDescent="0.25">
      <c r="B66" s="255"/>
      <c r="C66" s="280" t="s">
        <v>299</v>
      </c>
      <c r="E66" s="281"/>
      <c r="F66" s="282"/>
      <c r="G66" s="281"/>
      <c r="H66" s="282"/>
      <c r="I66" s="281"/>
      <c r="J66" s="282"/>
      <c r="K66" s="269"/>
      <c r="M66" s="280" t="s">
        <v>299</v>
      </c>
      <c r="O66" s="281"/>
      <c r="P66" s="282"/>
      <c r="Q66" s="281"/>
      <c r="R66" s="282"/>
      <c r="S66" s="281"/>
      <c r="T66" s="282"/>
      <c r="U66" s="227"/>
      <c r="W66" s="204"/>
      <c r="X66" s="501"/>
    </row>
    <row r="67" spans="2:24" ht="18" customHeight="1" x14ac:dyDescent="0.25">
      <c r="B67" s="255"/>
      <c r="C67" s="283" t="s">
        <v>6</v>
      </c>
      <c r="D67" s="277"/>
      <c r="E67" s="281"/>
      <c r="F67" s="282"/>
      <c r="G67" s="281"/>
      <c r="H67" s="282"/>
      <c r="I67" s="281"/>
      <c r="J67" s="282"/>
      <c r="K67" s="269"/>
      <c r="M67" s="283" t="s">
        <v>6</v>
      </c>
      <c r="N67" s="277"/>
      <c r="O67" s="281"/>
      <c r="P67" s="282"/>
      <c r="Q67" s="281"/>
      <c r="R67" s="282"/>
      <c r="S67" s="281"/>
      <c r="T67" s="282"/>
      <c r="U67" s="227"/>
      <c r="W67" s="204"/>
      <c r="X67" s="501"/>
    </row>
    <row r="68" spans="2:24" ht="3.95" customHeight="1" x14ac:dyDescent="0.25">
      <c r="B68" s="255"/>
      <c r="K68" s="269"/>
      <c r="U68" s="227"/>
      <c r="W68" s="204"/>
      <c r="X68" s="501"/>
    </row>
    <row r="69" spans="2:24" ht="18" customHeight="1" x14ac:dyDescent="0.25">
      <c r="B69" s="255"/>
      <c r="C69" s="284" t="s">
        <v>206</v>
      </c>
      <c r="E69" s="281"/>
      <c r="F69" s="282"/>
      <c r="G69" s="285" t="s">
        <v>949</v>
      </c>
      <c r="K69" s="269"/>
      <c r="M69" s="284" t="s">
        <v>206</v>
      </c>
      <c r="O69" s="281"/>
      <c r="P69" s="282"/>
      <c r="Q69" s="285" t="s">
        <v>949</v>
      </c>
      <c r="U69" s="227"/>
      <c r="W69" s="204"/>
      <c r="X69" s="501"/>
    </row>
    <row r="70" spans="2:24" ht="3.95" customHeight="1" x14ac:dyDescent="0.25">
      <c r="B70" s="255"/>
      <c r="C70" s="280"/>
      <c r="E70" s="286"/>
      <c r="F70" s="286"/>
      <c r="G70" s="287"/>
      <c r="K70" s="269"/>
      <c r="M70" s="280"/>
      <c r="O70" s="286"/>
      <c r="P70" s="286"/>
      <c r="Q70" s="287"/>
      <c r="U70" s="227"/>
      <c r="W70" s="204"/>
      <c r="X70" s="501"/>
    </row>
    <row r="71" spans="2:24" ht="18" customHeight="1" x14ac:dyDescent="0.25">
      <c r="B71" s="255"/>
      <c r="C71" s="280" t="s">
        <v>0</v>
      </c>
      <c r="E71" s="288" t="s">
        <v>45</v>
      </c>
      <c r="F71" s="289"/>
      <c r="G71" s="285" t="s">
        <v>950</v>
      </c>
      <c r="H71" s="290"/>
      <c r="K71" s="269"/>
      <c r="M71" s="280" t="s">
        <v>0</v>
      </c>
      <c r="O71" s="288" t="s">
        <v>45</v>
      </c>
      <c r="P71" s="289"/>
      <c r="Q71" s="285" t="s">
        <v>950</v>
      </c>
      <c r="R71" s="290"/>
      <c r="U71" s="227"/>
      <c r="W71" s="204"/>
      <c r="X71" s="501"/>
    </row>
    <row r="72" spans="2:24" ht="3.95" customHeight="1" x14ac:dyDescent="0.25">
      <c r="B72" s="255"/>
      <c r="C72" s="280"/>
      <c r="E72" s="288"/>
      <c r="F72" s="698"/>
      <c r="G72" s="285"/>
      <c r="H72" s="290"/>
      <c r="K72" s="269"/>
      <c r="M72" s="280"/>
      <c r="O72" s="288"/>
      <c r="P72" s="698"/>
      <c r="Q72" s="285"/>
      <c r="R72" s="290"/>
      <c r="U72" s="227"/>
      <c r="W72" s="204"/>
      <c r="X72" s="501"/>
    </row>
    <row r="73" spans="2:24" ht="18" customHeight="1" x14ac:dyDescent="0.25">
      <c r="B73" s="255"/>
      <c r="C73" s="280" t="s">
        <v>917</v>
      </c>
      <c r="E73" s="288"/>
      <c r="F73" s="289"/>
      <c r="G73" s="285" t="s">
        <v>951</v>
      </c>
      <c r="H73" s="290"/>
      <c r="K73" s="269"/>
      <c r="M73" s="280" t="s">
        <v>917</v>
      </c>
      <c r="O73" s="288"/>
      <c r="P73" s="289"/>
      <c r="Q73" s="285" t="s">
        <v>951</v>
      </c>
      <c r="R73" s="290"/>
      <c r="U73" s="227"/>
      <c r="W73" s="204"/>
      <c r="X73" s="501"/>
    </row>
    <row r="74" spans="2:24" ht="14.1" customHeight="1" x14ac:dyDescent="0.25">
      <c r="B74" s="236"/>
      <c r="C74" s="237"/>
      <c r="D74" s="237"/>
      <c r="E74" s="237"/>
      <c r="F74" s="237"/>
      <c r="G74" s="237"/>
      <c r="H74" s="237"/>
      <c r="I74" s="237"/>
      <c r="J74" s="237"/>
      <c r="K74" s="271"/>
      <c r="L74" s="237"/>
      <c r="M74" s="237"/>
      <c r="N74" s="237"/>
      <c r="O74" s="237"/>
      <c r="P74" s="237"/>
      <c r="Q74" s="237"/>
      <c r="R74" s="237"/>
      <c r="S74" s="237"/>
      <c r="T74" s="237"/>
      <c r="U74" s="239"/>
      <c r="W74" s="204"/>
      <c r="X74" s="501"/>
    </row>
    <row r="75" spans="2:24" ht="24" customHeight="1" x14ac:dyDescent="0.25">
      <c r="B75" s="291"/>
      <c r="C75" s="273" t="s">
        <v>145</v>
      </c>
      <c r="D75" s="273"/>
      <c r="E75" s="273"/>
      <c r="F75" s="273"/>
      <c r="G75" s="273"/>
      <c r="H75" s="273"/>
      <c r="I75" s="273"/>
      <c r="J75" s="273"/>
      <c r="K75" s="274"/>
      <c r="L75" s="273"/>
      <c r="M75" s="273" t="s">
        <v>145</v>
      </c>
      <c r="N75" s="273"/>
      <c r="O75" s="273"/>
      <c r="P75" s="273"/>
      <c r="Q75" s="273"/>
      <c r="R75" s="273"/>
      <c r="S75" s="273"/>
      <c r="T75" s="273"/>
      <c r="U75" s="235"/>
      <c r="W75" s="204"/>
      <c r="X75" s="501"/>
    </row>
    <row r="76" spans="2:24" ht="14.1" customHeight="1" x14ac:dyDescent="0.25">
      <c r="B76" s="255"/>
      <c r="E76" s="1114" t="str">
        <f>TBS_F13</f>
        <v/>
      </c>
      <c r="F76" s="1114"/>
      <c r="G76" s="1114"/>
      <c r="H76" s="1114"/>
      <c r="I76" s="1114"/>
      <c r="J76" s="1114"/>
      <c r="K76" s="269"/>
      <c r="O76" s="1114" t="str">
        <f>TBS_F23</f>
        <v/>
      </c>
      <c r="P76" s="1114"/>
      <c r="Q76" s="1114"/>
      <c r="R76" s="1114"/>
      <c r="S76" s="1114"/>
      <c r="T76" s="1114"/>
      <c r="U76" s="227"/>
      <c r="W76" s="204"/>
      <c r="X76" s="501"/>
    </row>
    <row r="77" spans="2:24" ht="14.1" customHeight="1" x14ac:dyDescent="0.25">
      <c r="B77" s="255"/>
      <c r="D77" s="275" t="s">
        <v>240</v>
      </c>
      <c r="E77" s="1106" t="s">
        <v>3</v>
      </c>
      <c r="F77" s="1107"/>
      <c r="G77" s="1106" t="s">
        <v>7</v>
      </c>
      <c r="H77" s="1107"/>
      <c r="I77" s="1108" t="s">
        <v>754</v>
      </c>
      <c r="J77" s="1109"/>
      <c r="K77" s="269"/>
      <c r="N77" s="275" t="s">
        <v>240</v>
      </c>
      <c r="O77" s="1106" t="s">
        <v>3</v>
      </c>
      <c r="P77" s="1107"/>
      <c r="Q77" s="1106" t="s">
        <v>7</v>
      </c>
      <c r="R77" s="1107"/>
      <c r="S77" s="1108" t="s">
        <v>754</v>
      </c>
      <c r="T77" s="1109"/>
      <c r="U77" s="227"/>
      <c r="W77" s="204"/>
      <c r="X77" s="501"/>
    </row>
    <row r="78" spans="2:24" ht="24" customHeight="1" x14ac:dyDescent="0.25">
      <c r="B78" s="255"/>
      <c r="C78" s="276" t="s">
        <v>239</v>
      </c>
      <c r="D78" s="277"/>
      <c r="E78" s="278" t="s">
        <v>20</v>
      </c>
      <c r="F78" s="279" t="s">
        <v>99</v>
      </c>
      <c r="G78" s="278" t="s">
        <v>20</v>
      </c>
      <c r="H78" s="279" t="s">
        <v>99</v>
      </c>
      <c r="I78" s="278" t="s">
        <v>20</v>
      </c>
      <c r="J78" s="279" t="s">
        <v>99</v>
      </c>
      <c r="K78" s="269"/>
      <c r="M78" s="276" t="s">
        <v>239</v>
      </c>
      <c r="N78" s="277"/>
      <c r="O78" s="278" t="s">
        <v>20</v>
      </c>
      <c r="P78" s="279" t="s">
        <v>99</v>
      </c>
      <c r="Q78" s="278" t="s">
        <v>20</v>
      </c>
      <c r="R78" s="279" t="s">
        <v>99</v>
      </c>
      <c r="S78" s="278" t="s">
        <v>20</v>
      </c>
      <c r="T78" s="279" t="s">
        <v>99</v>
      </c>
      <c r="U78" s="227"/>
      <c r="W78" s="204"/>
      <c r="X78" s="501"/>
    </row>
    <row r="79" spans="2:24" ht="18" customHeight="1" x14ac:dyDescent="0.25">
      <c r="B79" s="255"/>
      <c r="C79" s="280" t="s">
        <v>4</v>
      </c>
      <c r="E79" s="281"/>
      <c r="F79" s="282"/>
      <c r="G79" s="281"/>
      <c r="H79" s="282"/>
      <c r="I79" s="281"/>
      <c r="J79" s="282"/>
      <c r="K79" s="269"/>
      <c r="M79" s="280" t="s">
        <v>4</v>
      </c>
      <c r="O79" s="281"/>
      <c r="P79" s="282"/>
      <c r="Q79" s="281"/>
      <c r="R79" s="282"/>
      <c r="S79" s="281"/>
      <c r="T79" s="282"/>
      <c r="U79" s="227"/>
      <c r="W79" s="204"/>
      <c r="X79" s="501"/>
    </row>
    <row r="80" spans="2:24" ht="18" customHeight="1" x14ac:dyDescent="0.25">
      <c r="B80" s="255"/>
      <c r="C80" s="280" t="s">
        <v>5</v>
      </c>
      <c r="E80" s="281"/>
      <c r="F80" s="282"/>
      <c r="G80" s="281"/>
      <c r="H80" s="282"/>
      <c r="I80" s="281"/>
      <c r="J80" s="282"/>
      <c r="K80" s="269"/>
      <c r="M80" s="280" t="s">
        <v>5</v>
      </c>
      <c r="O80" s="281"/>
      <c r="P80" s="282"/>
      <c r="Q80" s="281"/>
      <c r="R80" s="282"/>
      <c r="S80" s="281"/>
      <c r="T80" s="282"/>
      <c r="U80" s="227"/>
      <c r="W80" s="204"/>
      <c r="X80" s="501"/>
    </row>
    <row r="81" spans="2:24" ht="18" customHeight="1" x14ac:dyDescent="0.25">
      <c r="B81" s="255"/>
      <c r="C81" s="280" t="s">
        <v>299</v>
      </c>
      <c r="E81" s="281"/>
      <c r="F81" s="282"/>
      <c r="G81" s="281"/>
      <c r="H81" s="282"/>
      <c r="I81" s="281"/>
      <c r="J81" s="282"/>
      <c r="K81" s="269"/>
      <c r="M81" s="280" t="s">
        <v>299</v>
      </c>
      <c r="O81" s="281"/>
      <c r="P81" s="282"/>
      <c r="Q81" s="281"/>
      <c r="R81" s="282"/>
      <c r="S81" s="281"/>
      <c r="T81" s="282"/>
      <c r="U81" s="227"/>
      <c r="W81" s="204"/>
      <c r="X81" s="501"/>
    </row>
    <row r="82" spans="2:24" ht="18" customHeight="1" x14ac:dyDescent="0.25">
      <c r="B82" s="255"/>
      <c r="C82" s="283" t="s">
        <v>6</v>
      </c>
      <c r="D82" s="277"/>
      <c r="E82" s="281"/>
      <c r="F82" s="282"/>
      <c r="G82" s="281"/>
      <c r="H82" s="282"/>
      <c r="I82" s="281"/>
      <c r="J82" s="282"/>
      <c r="K82" s="269"/>
      <c r="M82" s="283" t="s">
        <v>6</v>
      </c>
      <c r="N82" s="277"/>
      <c r="O82" s="281"/>
      <c r="P82" s="282"/>
      <c r="Q82" s="281"/>
      <c r="R82" s="282"/>
      <c r="S82" s="281"/>
      <c r="T82" s="282"/>
      <c r="U82" s="227"/>
      <c r="W82" s="204"/>
      <c r="X82" s="501"/>
    </row>
    <row r="83" spans="2:24" ht="3.95" customHeight="1" x14ac:dyDescent="0.25">
      <c r="B83" s="255"/>
      <c r="K83" s="269"/>
      <c r="U83" s="227"/>
      <c r="W83" s="204"/>
      <c r="X83" s="501"/>
    </row>
    <row r="84" spans="2:24" ht="18" customHeight="1" x14ac:dyDescent="0.25">
      <c r="B84" s="255"/>
      <c r="C84" s="284" t="s">
        <v>206</v>
      </c>
      <c r="E84" s="281"/>
      <c r="F84" s="282"/>
      <c r="G84" s="285" t="s">
        <v>949</v>
      </c>
      <c r="K84" s="269"/>
      <c r="M84" s="284" t="s">
        <v>206</v>
      </c>
      <c r="O84" s="281"/>
      <c r="P84" s="282"/>
      <c r="Q84" s="285" t="s">
        <v>949</v>
      </c>
      <c r="U84" s="227"/>
      <c r="W84" s="204"/>
      <c r="X84" s="501"/>
    </row>
    <row r="85" spans="2:24" ht="3.95" customHeight="1" x14ac:dyDescent="0.25">
      <c r="B85" s="255"/>
      <c r="C85" s="280"/>
      <c r="E85" s="286"/>
      <c r="F85" s="286"/>
      <c r="G85" s="287"/>
      <c r="K85" s="269"/>
      <c r="M85" s="280"/>
      <c r="O85" s="286"/>
      <c r="P85" s="286"/>
      <c r="Q85" s="287"/>
      <c r="U85" s="227"/>
      <c r="W85" s="204"/>
      <c r="X85" s="501"/>
    </row>
    <row r="86" spans="2:24" ht="18" customHeight="1" x14ac:dyDescent="0.25">
      <c r="B86" s="255"/>
      <c r="C86" s="280" t="s">
        <v>0</v>
      </c>
      <c r="E86" s="288" t="s">
        <v>45</v>
      </c>
      <c r="F86" s="289"/>
      <c r="G86" s="285" t="s">
        <v>950</v>
      </c>
      <c r="H86" s="290"/>
      <c r="K86" s="269"/>
      <c r="M86" s="280" t="s">
        <v>0</v>
      </c>
      <c r="O86" s="288" t="s">
        <v>45</v>
      </c>
      <c r="P86" s="289"/>
      <c r="Q86" s="285" t="s">
        <v>950</v>
      </c>
      <c r="R86" s="290"/>
      <c r="U86" s="227"/>
      <c r="W86" s="204"/>
      <c r="X86" s="501"/>
    </row>
    <row r="87" spans="2:24" ht="3.95" customHeight="1" x14ac:dyDescent="0.25">
      <c r="B87" s="255"/>
      <c r="C87" s="280"/>
      <c r="E87" s="288"/>
      <c r="F87" s="698"/>
      <c r="G87" s="285"/>
      <c r="H87" s="290"/>
      <c r="K87" s="269"/>
      <c r="M87" s="280"/>
      <c r="O87" s="288"/>
      <c r="P87" s="698"/>
      <c r="Q87" s="285"/>
      <c r="R87" s="290"/>
      <c r="U87" s="227"/>
      <c r="W87" s="204"/>
      <c r="X87" s="501"/>
    </row>
    <row r="88" spans="2:24" ht="18" customHeight="1" x14ac:dyDescent="0.25">
      <c r="B88" s="255"/>
      <c r="C88" s="280" t="s">
        <v>917</v>
      </c>
      <c r="E88" s="288"/>
      <c r="F88" s="289"/>
      <c r="G88" s="285" t="s">
        <v>951</v>
      </c>
      <c r="H88" s="290"/>
      <c r="K88" s="269"/>
      <c r="M88" s="280" t="s">
        <v>917</v>
      </c>
      <c r="O88" s="288"/>
      <c r="P88" s="289"/>
      <c r="Q88" s="285" t="s">
        <v>951</v>
      </c>
      <c r="R88" s="290"/>
      <c r="U88" s="227"/>
      <c r="W88" s="204"/>
      <c r="X88" s="501"/>
    </row>
    <row r="89" spans="2:24" ht="14.1" customHeight="1" x14ac:dyDescent="0.25">
      <c r="B89" s="236"/>
      <c r="C89" s="237"/>
      <c r="D89" s="237"/>
      <c r="E89" s="237"/>
      <c r="F89" s="237"/>
      <c r="G89" s="237"/>
      <c r="H89" s="237"/>
      <c r="I89" s="237"/>
      <c r="J89" s="237"/>
      <c r="K89" s="271"/>
      <c r="L89" s="237"/>
      <c r="M89" s="237"/>
      <c r="N89" s="237"/>
      <c r="O89" s="237"/>
      <c r="P89" s="237"/>
      <c r="Q89" s="237"/>
      <c r="R89" s="237"/>
      <c r="S89" s="237"/>
      <c r="T89" s="237"/>
      <c r="U89" s="239"/>
      <c r="W89" s="204"/>
      <c r="X89" s="501"/>
    </row>
    <row r="90" spans="2:24" ht="24" customHeight="1" x14ac:dyDescent="0.25">
      <c r="B90" s="291"/>
      <c r="C90" s="273" t="s">
        <v>146</v>
      </c>
      <c r="D90" s="273"/>
      <c r="E90" s="273"/>
      <c r="F90" s="273"/>
      <c r="G90" s="273"/>
      <c r="H90" s="273"/>
      <c r="I90" s="273"/>
      <c r="J90" s="273"/>
      <c r="K90" s="274"/>
      <c r="L90" s="273"/>
      <c r="M90" s="273" t="s">
        <v>146</v>
      </c>
      <c r="N90" s="273"/>
      <c r="O90" s="273"/>
      <c r="P90" s="273"/>
      <c r="Q90" s="273"/>
      <c r="R90" s="273"/>
      <c r="S90" s="273"/>
      <c r="T90" s="273"/>
      <c r="U90" s="235"/>
      <c r="W90" s="204"/>
      <c r="X90" s="501"/>
    </row>
    <row r="91" spans="2:24" ht="14.1" customHeight="1" x14ac:dyDescent="0.25">
      <c r="B91" s="255"/>
      <c r="E91" s="1114" t="str">
        <f>TBS_F14</f>
        <v/>
      </c>
      <c r="F91" s="1114"/>
      <c r="G91" s="1114"/>
      <c r="H91" s="1114"/>
      <c r="I91" s="1114"/>
      <c r="J91" s="1114"/>
      <c r="K91" s="269"/>
      <c r="O91" s="1114" t="str">
        <f>TBS_F24</f>
        <v/>
      </c>
      <c r="P91" s="1114"/>
      <c r="Q91" s="1114"/>
      <c r="R91" s="1114"/>
      <c r="S91" s="1114"/>
      <c r="T91" s="1114"/>
      <c r="U91" s="227"/>
      <c r="W91" s="204"/>
      <c r="X91" s="501"/>
    </row>
    <row r="92" spans="2:24" ht="14.1" customHeight="1" x14ac:dyDescent="0.25">
      <c r="B92" s="255"/>
      <c r="D92" s="275" t="s">
        <v>240</v>
      </c>
      <c r="E92" s="1106" t="s">
        <v>3</v>
      </c>
      <c r="F92" s="1107"/>
      <c r="G92" s="1106" t="s">
        <v>7</v>
      </c>
      <c r="H92" s="1107"/>
      <c r="I92" s="1108" t="s">
        <v>754</v>
      </c>
      <c r="J92" s="1109"/>
      <c r="K92" s="269"/>
      <c r="N92" s="275" t="s">
        <v>240</v>
      </c>
      <c r="O92" s="1106" t="s">
        <v>3</v>
      </c>
      <c r="P92" s="1107"/>
      <c r="Q92" s="1106" t="s">
        <v>7</v>
      </c>
      <c r="R92" s="1107"/>
      <c r="S92" s="1108" t="s">
        <v>754</v>
      </c>
      <c r="T92" s="1109"/>
      <c r="U92" s="227"/>
      <c r="W92" s="204"/>
      <c r="X92" s="501"/>
    </row>
    <row r="93" spans="2:24" ht="24" customHeight="1" x14ac:dyDescent="0.25">
      <c r="B93" s="255"/>
      <c r="C93" s="276" t="s">
        <v>239</v>
      </c>
      <c r="D93" s="277"/>
      <c r="E93" s="278" t="s">
        <v>20</v>
      </c>
      <c r="F93" s="279" t="s">
        <v>99</v>
      </c>
      <c r="G93" s="278" t="s">
        <v>20</v>
      </c>
      <c r="H93" s="279" t="s">
        <v>99</v>
      </c>
      <c r="I93" s="278" t="s">
        <v>20</v>
      </c>
      <c r="J93" s="279" t="s">
        <v>99</v>
      </c>
      <c r="K93" s="269"/>
      <c r="M93" s="276" t="s">
        <v>239</v>
      </c>
      <c r="N93" s="277"/>
      <c r="O93" s="278" t="s">
        <v>20</v>
      </c>
      <c r="P93" s="279" t="s">
        <v>99</v>
      </c>
      <c r="Q93" s="278" t="s">
        <v>20</v>
      </c>
      <c r="R93" s="279" t="s">
        <v>99</v>
      </c>
      <c r="S93" s="278" t="s">
        <v>20</v>
      </c>
      <c r="T93" s="279" t="s">
        <v>99</v>
      </c>
      <c r="U93" s="227"/>
      <c r="W93" s="204"/>
      <c r="X93" s="501"/>
    </row>
    <row r="94" spans="2:24" ht="18" customHeight="1" x14ac:dyDescent="0.25">
      <c r="B94" s="255"/>
      <c r="C94" s="280" t="s">
        <v>4</v>
      </c>
      <c r="E94" s="281"/>
      <c r="F94" s="282"/>
      <c r="G94" s="281"/>
      <c r="H94" s="282"/>
      <c r="I94" s="281"/>
      <c r="J94" s="282"/>
      <c r="K94" s="269"/>
      <c r="M94" s="280" t="s">
        <v>4</v>
      </c>
      <c r="O94" s="281"/>
      <c r="P94" s="282"/>
      <c r="Q94" s="281"/>
      <c r="R94" s="282"/>
      <c r="S94" s="281"/>
      <c r="T94" s="282"/>
      <c r="U94" s="227"/>
      <c r="W94" s="204"/>
      <c r="X94" s="501"/>
    </row>
    <row r="95" spans="2:24" ht="18" customHeight="1" x14ac:dyDescent="0.25">
      <c r="B95" s="255"/>
      <c r="C95" s="280" t="s">
        <v>5</v>
      </c>
      <c r="E95" s="281"/>
      <c r="F95" s="282"/>
      <c r="G95" s="281"/>
      <c r="H95" s="282"/>
      <c r="I95" s="281"/>
      <c r="J95" s="282"/>
      <c r="K95" s="269"/>
      <c r="M95" s="280" t="s">
        <v>5</v>
      </c>
      <c r="O95" s="281"/>
      <c r="P95" s="282"/>
      <c r="Q95" s="281"/>
      <c r="R95" s="282"/>
      <c r="S95" s="281"/>
      <c r="T95" s="282"/>
      <c r="U95" s="227"/>
      <c r="W95" s="204"/>
      <c r="X95" s="501"/>
    </row>
    <row r="96" spans="2:24" ht="18" customHeight="1" x14ac:dyDescent="0.25">
      <c r="B96" s="255"/>
      <c r="C96" s="280" t="s">
        <v>299</v>
      </c>
      <c r="E96" s="281"/>
      <c r="F96" s="282"/>
      <c r="G96" s="281"/>
      <c r="H96" s="282"/>
      <c r="I96" s="281"/>
      <c r="J96" s="282"/>
      <c r="K96" s="269"/>
      <c r="M96" s="280" t="s">
        <v>299</v>
      </c>
      <c r="O96" s="281"/>
      <c r="P96" s="282"/>
      <c r="Q96" s="281"/>
      <c r="R96" s="282"/>
      <c r="S96" s="281"/>
      <c r="T96" s="282"/>
      <c r="U96" s="227"/>
      <c r="W96" s="204"/>
      <c r="X96" s="501"/>
    </row>
    <row r="97" spans="1:24" ht="18" customHeight="1" x14ac:dyDescent="0.25">
      <c r="B97" s="255"/>
      <c r="C97" s="283" t="s">
        <v>6</v>
      </c>
      <c r="D97" s="277"/>
      <c r="E97" s="281"/>
      <c r="F97" s="282"/>
      <c r="G97" s="281"/>
      <c r="H97" s="282"/>
      <c r="I97" s="281"/>
      <c r="J97" s="282"/>
      <c r="K97" s="269"/>
      <c r="M97" s="283" t="s">
        <v>6</v>
      </c>
      <c r="N97" s="277"/>
      <c r="O97" s="281"/>
      <c r="P97" s="282"/>
      <c r="Q97" s="281"/>
      <c r="R97" s="282"/>
      <c r="S97" s="281"/>
      <c r="T97" s="282"/>
      <c r="U97" s="227"/>
      <c r="W97" s="204"/>
      <c r="X97" s="501"/>
    </row>
    <row r="98" spans="1:24" ht="3.95" customHeight="1" x14ac:dyDescent="0.25">
      <c r="B98" s="255"/>
      <c r="K98" s="269"/>
      <c r="U98" s="227"/>
      <c r="W98" s="204"/>
      <c r="X98" s="501"/>
    </row>
    <row r="99" spans="1:24" ht="18" customHeight="1" x14ac:dyDescent="0.25">
      <c r="B99" s="255"/>
      <c r="C99" s="284" t="s">
        <v>206</v>
      </c>
      <c r="E99" s="281"/>
      <c r="F99" s="282"/>
      <c r="G99" s="285" t="s">
        <v>949</v>
      </c>
      <c r="K99" s="269"/>
      <c r="M99" s="284" t="s">
        <v>206</v>
      </c>
      <c r="O99" s="281"/>
      <c r="P99" s="282"/>
      <c r="Q99" s="285" t="s">
        <v>949</v>
      </c>
      <c r="U99" s="227"/>
      <c r="W99" s="204"/>
      <c r="X99" s="501"/>
    </row>
    <row r="100" spans="1:24" ht="3.95" customHeight="1" x14ac:dyDescent="0.25">
      <c r="B100" s="255"/>
      <c r="C100" s="280"/>
      <c r="E100" s="286"/>
      <c r="F100" s="286"/>
      <c r="G100" s="287"/>
      <c r="K100" s="269"/>
      <c r="M100" s="280"/>
      <c r="O100" s="286"/>
      <c r="P100" s="286"/>
      <c r="Q100" s="287"/>
      <c r="U100" s="227"/>
      <c r="W100" s="204"/>
      <c r="X100" s="501"/>
    </row>
    <row r="101" spans="1:24" ht="18" customHeight="1" x14ac:dyDescent="0.25">
      <c r="B101" s="255"/>
      <c r="C101" s="280" t="s">
        <v>0</v>
      </c>
      <c r="E101" s="288" t="s">
        <v>45</v>
      </c>
      <c r="F101" s="289"/>
      <c r="G101" s="285" t="s">
        <v>950</v>
      </c>
      <c r="H101" s="290"/>
      <c r="K101" s="269"/>
      <c r="M101" s="280" t="s">
        <v>0</v>
      </c>
      <c r="O101" s="288" t="s">
        <v>45</v>
      </c>
      <c r="P101" s="289"/>
      <c r="Q101" s="285" t="s">
        <v>950</v>
      </c>
      <c r="R101" s="290"/>
      <c r="U101" s="227"/>
      <c r="W101" s="204"/>
      <c r="X101" s="501"/>
    </row>
    <row r="102" spans="1:24" ht="3.95" customHeight="1" x14ac:dyDescent="0.25">
      <c r="B102" s="255"/>
      <c r="C102" s="280"/>
      <c r="E102" s="288"/>
      <c r="F102" s="698"/>
      <c r="G102" s="285"/>
      <c r="H102" s="290"/>
      <c r="K102" s="269"/>
      <c r="M102" s="280"/>
      <c r="O102" s="288"/>
      <c r="P102" s="698"/>
      <c r="Q102" s="285"/>
      <c r="R102" s="290"/>
      <c r="U102" s="227"/>
      <c r="W102" s="204"/>
      <c r="X102" s="501"/>
    </row>
    <row r="103" spans="1:24" ht="18" customHeight="1" x14ac:dyDescent="0.25">
      <c r="B103" s="255"/>
      <c r="C103" s="280" t="s">
        <v>917</v>
      </c>
      <c r="E103" s="288"/>
      <c r="F103" s="289"/>
      <c r="G103" s="285" t="s">
        <v>951</v>
      </c>
      <c r="H103" s="290"/>
      <c r="K103" s="269"/>
      <c r="M103" s="280" t="s">
        <v>917</v>
      </c>
      <c r="O103" s="288"/>
      <c r="P103" s="289"/>
      <c r="Q103" s="285" t="s">
        <v>951</v>
      </c>
      <c r="R103" s="290"/>
      <c r="U103" s="227"/>
      <c r="W103" s="204"/>
      <c r="X103" s="501"/>
    </row>
    <row r="104" spans="1:24" ht="14.1" customHeight="1" thickBot="1" x14ac:dyDescent="0.3">
      <c r="B104" s="256"/>
      <c r="C104" s="240"/>
      <c r="D104" s="240"/>
      <c r="E104" s="240"/>
      <c r="F104" s="240"/>
      <c r="G104" s="240"/>
      <c r="H104" s="240"/>
      <c r="I104" s="240"/>
      <c r="J104" s="240"/>
      <c r="K104" s="292"/>
      <c r="L104" s="240"/>
      <c r="M104" s="240"/>
      <c r="N104" s="240"/>
      <c r="O104" s="240"/>
      <c r="P104" s="240"/>
      <c r="Q104" s="240"/>
      <c r="R104" s="240"/>
      <c r="S104" s="240"/>
      <c r="T104" s="240"/>
      <c r="U104" s="241"/>
      <c r="W104" s="204"/>
      <c r="X104" s="501"/>
    </row>
    <row r="105" spans="1:24" ht="18" customHeight="1" thickBot="1" x14ac:dyDescent="0.3">
      <c r="W105" s="204"/>
      <c r="X105" s="501"/>
    </row>
    <row r="106" spans="1:24" ht="32.1" customHeight="1" x14ac:dyDescent="0.25">
      <c r="A106" s="227"/>
      <c r="B106" s="257"/>
      <c r="C106" s="258" t="s">
        <v>65</v>
      </c>
      <c r="D106" s="258"/>
      <c r="E106" s="259"/>
      <c r="F106" s="259"/>
      <c r="G106" s="259"/>
      <c r="H106" s="259"/>
      <c r="I106" s="259"/>
      <c r="J106" s="259"/>
      <c r="K106" s="259"/>
      <c r="L106" s="259"/>
      <c r="M106" s="259"/>
      <c r="N106" s="259"/>
      <c r="O106" s="259"/>
      <c r="P106" s="259"/>
      <c r="Q106" s="259"/>
      <c r="R106" s="259"/>
      <c r="S106" s="259"/>
      <c r="T106" s="259"/>
      <c r="U106" s="260"/>
      <c r="W106" s="204"/>
      <c r="X106" s="501"/>
    </row>
    <row r="107" spans="1:24" ht="14.1" customHeight="1" x14ac:dyDescent="0.25">
      <c r="A107" s="227"/>
      <c r="B107" s="245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46"/>
      <c r="W107" s="204"/>
      <c r="X107" s="501"/>
    </row>
    <row r="108" spans="1:24" ht="18" customHeight="1" x14ac:dyDescent="0.25">
      <c r="A108" s="227"/>
      <c r="B108" s="245"/>
      <c r="C108" s="515" t="s">
        <v>273</v>
      </c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46"/>
      <c r="W108" s="204"/>
      <c r="X108" s="501"/>
    </row>
    <row r="109" spans="1:24" ht="18" customHeight="1" x14ac:dyDescent="0.25">
      <c r="A109" s="227"/>
      <c r="B109" s="245"/>
      <c r="C109" s="202" t="s">
        <v>683</v>
      </c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46"/>
      <c r="W109" s="204"/>
      <c r="X109" s="501"/>
    </row>
    <row r="110" spans="1:24" ht="6" customHeight="1" x14ac:dyDescent="0.25">
      <c r="A110" s="227"/>
      <c r="B110" s="245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46"/>
      <c r="W110" s="204"/>
      <c r="X110" s="501"/>
    </row>
    <row r="111" spans="1:24" ht="18" customHeight="1" x14ac:dyDescent="0.25">
      <c r="A111" s="227"/>
      <c r="B111" s="245"/>
      <c r="C111" s="515" t="s">
        <v>684</v>
      </c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  <c r="Q111" s="515"/>
      <c r="R111" s="515"/>
      <c r="S111" s="515"/>
      <c r="T111" s="515"/>
      <c r="U111" s="246"/>
      <c r="W111" s="204"/>
      <c r="X111" s="501"/>
    </row>
    <row r="112" spans="1:24" ht="18" customHeight="1" x14ac:dyDescent="0.25">
      <c r="A112" s="227"/>
      <c r="B112" s="245"/>
      <c r="C112" s="515" t="s">
        <v>274</v>
      </c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  <c r="Q112" s="515"/>
      <c r="R112" s="515"/>
      <c r="S112" s="515"/>
      <c r="T112" s="515"/>
      <c r="U112" s="246"/>
      <c r="W112" s="204"/>
      <c r="X112" s="501"/>
    </row>
    <row r="113" spans="1:24" ht="6" customHeight="1" x14ac:dyDescent="0.25">
      <c r="A113" s="227"/>
      <c r="B113" s="245"/>
      <c r="C113" s="515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Q113" s="515"/>
      <c r="R113" s="515"/>
      <c r="S113" s="515"/>
      <c r="T113" s="515"/>
      <c r="U113" s="246"/>
      <c r="W113" s="204"/>
      <c r="X113" s="501"/>
    </row>
    <row r="114" spans="1:24" ht="18" customHeight="1" x14ac:dyDescent="0.25">
      <c r="A114" s="227"/>
      <c r="B114" s="245"/>
      <c r="C114" s="515" t="s">
        <v>284</v>
      </c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515"/>
      <c r="P114" s="515"/>
      <c r="Q114" s="515"/>
      <c r="R114" s="515"/>
      <c r="S114" s="515"/>
      <c r="T114" s="515"/>
      <c r="U114" s="246"/>
      <c r="W114" s="204"/>
      <c r="X114" s="501"/>
    </row>
    <row r="115" spans="1:24" ht="18" customHeight="1" x14ac:dyDescent="0.25">
      <c r="A115" s="227"/>
      <c r="B115" s="245"/>
      <c r="C115" s="515" t="s">
        <v>292</v>
      </c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515"/>
      <c r="O115" s="515"/>
      <c r="P115" s="515"/>
      <c r="Q115" s="515"/>
      <c r="R115" s="515"/>
      <c r="S115" s="515"/>
      <c r="T115" s="515"/>
      <c r="U115" s="246"/>
      <c r="W115" s="204"/>
      <c r="X115" s="501"/>
    </row>
    <row r="116" spans="1:24" ht="14.1" customHeight="1" x14ac:dyDescent="0.25">
      <c r="A116" s="227"/>
      <c r="B116" s="293"/>
      <c r="C116" s="294"/>
      <c r="D116" s="294"/>
      <c r="E116" s="294"/>
      <c r="F116" s="294"/>
      <c r="G116" s="294"/>
      <c r="H116" s="294"/>
      <c r="I116" s="294"/>
      <c r="J116" s="294"/>
      <c r="K116" s="295"/>
      <c r="L116" s="295"/>
      <c r="M116" s="294"/>
      <c r="N116" s="294"/>
      <c r="O116" s="294"/>
      <c r="P116" s="294"/>
      <c r="Q116" s="294"/>
      <c r="R116" s="294"/>
      <c r="S116" s="294"/>
      <c r="T116" s="294"/>
      <c r="U116" s="296"/>
      <c r="W116" s="204"/>
      <c r="X116" s="501"/>
    </row>
    <row r="117" spans="1:24" ht="14.1" customHeight="1" x14ac:dyDescent="0.25">
      <c r="A117" s="227"/>
      <c r="B117" s="255"/>
      <c r="K117" s="269"/>
      <c r="U117" s="227"/>
      <c r="W117" s="204"/>
      <c r="X117" s="501"/>
    </row>
    <row r="118" spans="1:24" ht="24" customHeight="1" x14ac:dyDescent="0.25">
      <c r="A118" s="227"/>
      <c r="B118" s="255"/>
      <c r="C118" s="1120" t="str">
        <f>IF(
VA_BESTANDSEINGABE=0,"",IF(
AND(VA_BESTANDSEINGABE=1,VA_VERKEHRSSTATION=""),"Bahnhofsname nicht eingegeben",IF(
AND(VA_BESTANDSEINGABE=1,VA_VERKEHRSSTATION&lt;&gt;""),VA_VERKEHRSSTATION,IF(
VA_ZUGANG_1="","Bezeichnung der Bahnhofsseite fehlt",
VA_ZUGANG_1))))</f>
        <v/>
      </c>
      <c r="D118" s="1120"/>
      <c r="E118" s="1120"/>
      <c r="F118" s="1120"/>
      <c r="G118" s="1120"/>
      <c r="H118" s="1120"/>
      <c r="I118" s="1120"/>
      <c r="J118" s="1120"/>
      <c r="K118" s="269"/>
      <c r="M118" s="1120" t="str">
        <f>IF(
VA_BESTANDSEINGABE&lt;2,"",IF(
VA_ZUGANG_2="","Bezeichnung der Bahnhofsseite fehlt",
VA_ZUGANG_2))</f>
        <v/>
      </c>
      <c r="N118" s="1120"/>
      <c r="O118" s="1120"/>
      <c r="P118" s="1120"/>
      <c r="Q118" s="1120"/>
      <c r="R118" s="1120"/>
      <c r="S118" s="1120"/>
      <c r="T118" s="1120"/>
      <c r="U118" s="227"/>
      <c r="W118" s="204"/>
      <c r="X118" s="501"/>
    </row>
    <row r="119" spans="1:24" ht="14.1" customHeight="1" x14ac:dyDescent="0.25">
      <c r="A119" s="227"/>
      <c r="B119" s="255"/>
      <c r="K119" s="269"/>
      <c r="U119" s="227"/>
      <c r="W119" s="204"/>
      <c r="X119" s="501"/>
    </row>
    <row r="120" spans="1:24" ht="14.1" customHeight="1" x14ac:dyDescent="0.25">
      <c r="A120" s="227"/>
      <c r="B120" s="255"/>
      <c r="C120" s="1119" t="str">
        <f>IF(
VA_BESTANDSEINGABE=0,"Eingabe bei Bestand und Auslastung (oben) fehlt",
"Gemäß ihrer Eingabe befinden sich am o.g. Standort "&amp;VA_VERLEGUNG_1&amp;" optimale Stellplätze.")</f>
        <v>Eingabe bei Bestand und Auslastung (oben) fehlt</v>
      </c>
      <c r="D120" s="1119"/>
      <c r="E120" s="1119"/>
      <c r="F120" s="1119"/>
      <c r="G120" s="1119"/>
      <c r="H120" s="1119"/>
      <c r="I120" s="1119"/>
      <c r="J120" s="1119"/>
      <c r="K120" s="269"/>
      <c r="M120" s="1119" t="str">
        <f>IF(
VA_BESTANDSEINGABE&lt;2,"Eingabe bei Bestand und Auslastung (oben) fehlt",
"Gemäß ihrer Eingabe befinden sich am o.g. Standort "&amp;VA_VERLEGUNG_2&amp;" optimale Stellplätze.")</f>
        <v>Eingabe bei Bestand und Auslastung (oben) fehlt</v>
      </c>
      <c r="N120" s="1119"/>
      <c r="O120" s="1119"/>
      <c r="P120" s="1119"/>
      <c r="Q120" s="1119"/>
      <c r="R120" s="1119"/>
      <c r="S120" s="1119"/>
      <c r="T120" s="1119"/>
      <c r="U120" s="227"/>
      <c r="W120" s="204"/>
      <c r="X120" s="501"/>
    </row>
    <row r="121" spans="1:24" ht="14.1" customHeight="1" x14ac:dyDescent="0.25">
      <c r="A121" s="227"/>
      <c r="B121" s="255"/>
      <c r="K121" s="269"/>
      <c r="U121" s="227"/>
      <c r="W121" s="204"/>
      <c r="X121" s="501"/>
    </row>
    <row r="122" spans="1:24" ht="18" customHeight="1" x14ac:dyDescent="0.25">
      <c r="A122" s="227"/>
      <c r="B122" s="255"/>
      <c r="C122" s="203" t="s">
        <v>147</v>
      </c>
      <c r="K122" s="269"/>
      <c r="M122" s="203" t="s">
        <v>66</v>
      </c>
      <c r="U122" s="227"/>
      <c r="W122" s="204"/>
      <c r="X122" s="501"/>
    </row>
    <row r="123" spans="1:24" ht="18" customHeight="1" x14ac:dyDescent="0.25">
      <c r="A123" s="227"/>
      <c r="B123" s="255"/>
      <c r="C123" s="203" t="s">
        <v>139</v>
      </c>
      <c r="K123" s="269"/>
      <c r="M123" s="203" t="s">
        <v>139</v>
      </c>
      <c r="U123" s="227"/>
      <c r="W123" s="204"/>
      <c r="X123" s="501"/>
    </row>
    <row r="124" spans="1:24" ht="14.1" customHeight="1" x14ac:dyDescent="0.25">
      <c r="A124" s="227"/>
      <c r="B124" s="255"/>
      <c r="K124" s="269"/>
      <c r="U124" s="227"/>
      <c r="W124" s="204"/>
      <c r="X124" s="501"/>
    </row>
    <row r="125" spans="1:24" ht="18" customHeight="1" x14ac:dyDescent="0.25">
      <c r="A125" s="227"/>
      <c r="B125" s="255"/>
      <c r="C125" s="280" t="s">
        <v>48</v>
      </c>
      <c r="J125" s="289"/>
      <c r="K125" s="269"/>
      <c r="M125" s="280" t="s">
        <v>48</v>
      </c>
      <c r="T125" s="289"/>
      <c r="U125" s="227"/>
      <c r="W125" s="204"/>
      <c r="X125" s="501"/>
    </row>
    <row r="126" spans="1:24" ht="18" customHeight="1" thickBot="1" x14ac:dyDescent="0.3">
      <c r="A126" s="227"/>
      <c r="B126" s="256"/>
      <c r="C126" s="1118" t="str">
        <f>TBS_F3a</f>
        <v/>
      </c>
      <c r="D126" s="1118"/>
      <c r="E126" s="1118"/>
      <c r="F126" s="1118"/>
      <c r="G126" s="1118"/>
      <c r="H126" s="240"/>
      <c r="I126" s="297" t="s">
        <v>49</v>
      </c>
      <c r="J126" s="298">
        <f>VA_VERLEGUNG_1</f>
        <v>0</v>
      </c>
      <c r="K126" s="292"/>
      <c r="L126" s="240"/>
      <c r="M126" s="1118" t="str">
        <f>TBS_F3b</f>
        <v/>
      </c>
      <c r="N126" s="1118"/>
      <c r="O126" s="1118"/>
      <c r="P126" s="1118"/>
      <c r="Q126" s="1118"/>
      <c r="R126" s="240"/>
      <c r="S126" s="297" t="s">
        <v>49</v>
      </c>
      <c r="T126" s="298">
        <f>VA_VERLEGUNG_2</f>
        <v>0</v>
      </c>
      <c r="U126" s="241"/>
      <c r="W126" s="204"/>
      <c r="X126" s="501"/>
    </row>
    <row r="127" spans="1:24" ht="14.1" customHeight="1" x14ac:dyDescent="0.25">
      <c r="C127" s="299"/>
      <c r="D127" s="299"/>
      <c r="E127" s="299"/>
      <c r="F127" s="299"/>
      <c r="G127" s="299"/>
      <c r="I127" s="300"/>
      <c r="J127" s="301"/>
      <c r="M127" s="299"/>
      <c r="N127" s="299"/>
      <c r="O127" s="299"/>
      <c r="P127" s="299"/>
      <c r="Q127" s="299"/>
      <c r="S127" s="300"/>
      <c r="T127" s="301"/>
      <c r="W127" s="204"/>
      <c r="X127" s="501"/>
    </row>
    <row r="128" spans="1:24" ht="24" customHeight="1" x14ac:dyDescent="0.25">
      <c r="C128" s="299"/>
      <c r="D128" s="299"/>
      <c r="E128" s="299"/>
      <c r="F128" s="299"/>
      <c r="G128" s="299"/>
      <c r="I128" s="300"/>
      <c r="J128" s="301"/>
      <c r="M128" s="299"/>
      <c r="N128" s="299"/>
      <c r="O128" s="299"/>
      <c r="P128" s="299"/>
      <c r="Q128" s="299"/>
      <c r="S128" s="300"/>
      <c r="T128" s="301"/>
      <c r="W128" s="204"/>
      <c r="X128" s="501"/>
    </row>
    <row r="129" spans="1:24" ht="14.1" customHeight="1" x14ac:dyDescent="0.25">
      <c r="W129" s="204"/>
      <c r="X129" s="501"/>
    </row>
    <row r="130" spans="1:24" ht="5.0999999999999996" customHeight="1" x14ac:dyDescent="0.25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501"/>
    </row>
    <row r="131" spans="1:24" ht="45" customHeight="1" x14ac:dyDescent="0.25">
      <c r="A131" s="501"/>
      <c r="B131" s="501"/>
      <c r="C131" s="501"/>
      <c r="D131" s="501"/>
      <c r="E131" s="501"/>
      <c r="F131" s="1014" t="s">
        <v>713</v>
      </c>
      <c r="G131" s="1014"/>
      <c r="H131" s="1014"/>
      <c r="I131" s="1014"/>
      <c r="J131" s="1014"/>
      <c r="K131" s="1014"/>
      <c r="L131" s="1014"/>
      <c r="M131" s="1014"/>
      <c r="N131" s="1014"/>
      <c r="O131" s="1014"/>
      <c r="P131" s="1014"/>
      <c r="Q131" s="1014"/>
      <c r="R131" s="1014"/>
      <c r="S131" s="501"/>
      <c r="T131" s="501"/>
      <c r="U131" s="501"/>
      <c r="V131" s="501"/>
      <c r="W131" s="501"/>
      <c r="X131" s="501"/>
    </row>
    <row r="132" spans="1:24" s="302" customFormat="1" ht="26.25" customHeight="1" x14ac:dyDescent="0.25"/>
    <row r="134" spans="1:24" ht="18" customHeight="1" x14ac:dyDescent="0.25">
      <c r="A134" s="502"/>
    </row>
  </sheetData>
  <sheetProtection algorithmName="SHA-512" hashValue="7W6I7Dk69GuyM2K76rtwBcGjLn/Phf/agYVL1cQqm8tfrOiQakh5NtN5ZayU2HBOEDs6/709AmpVNhXpTC7d1w==" saltValue="UtdZNfj/udGgo3hxSqHjhA==" spinCount="100000" sheet="1" objects="1" scenarios="1"/>
  <mergeCells count="88">
    <mergeCell ref="C33:E33"/>
    <mergeCell ref="C32:E32"/>
    <mergeCell ref="F33:H33"/>
    <mergeCell ref="I30:K30"/>
    <mergeCell ref="L30:N30"/>
    <mergeCell ref="I33:K33"/>
    <mergeCell ref="L33:N33"/>
    <mergeCell ref="F32:H32"/>
    <mergeCell ref="I32:K32"/>
    <mergeCell ref="L32:N32"/>
    <mergeCell ref="I31:K31"/>
    <mergeCell ref="C30:E30"/>
    <mergeCell ref="C31:E31"/>
    <mergeCell ref="F30:H30"/>
    <mergeCell ref="F29:H29"/>
    <mergeCell ref="F31:H31"/>
    <mergeCell ref="F131:R131"/>
    <mergeCell ref="C26:H26"/>
    <mergeCell ref="I26:T26"/>
    <mergeCell ref="I27:T27"/>
    <mergeCell ref="E47:F47"/>
    <mergeCell ref="G47:H47"/>
    <mergeCell ref="I47:J47"/>
    <mergeCell ref="C43:J43"/>
    <mergeCell ref="C44:J44"/>
    <mergeCell ref="N41:S41"/>
    <mergeCell ref="D41:I41"/>
    <mergeCell ref="E46:J46"/>
    <mergeCell ref="O46:T46"/>
    <mergeCell ref="E91:J91"/>
    <mergeCell ref="I29:K29"/>
    <mergeCell ref="L29:N29"/>
    <mergeCell ref="F28:H28"/>
    <mergeCell ref="I28:K28"/>
    <mergeCell ref="E76:J76"/>
    <mergeCell ref="O76:T76"/>
    <mergeCell ref="O77:P77"/>
    <mergeCell ref="E77:F77"/>
    <mergeCell ref="G77:H77"/>
    <mergeCell ref="I77:J77"/>
    <mergeCell ref="S77:T77"/>
    <mergeCell ref="L31:N31"/>
    <mergeCell ref="O31:Q31"/>
    <mergeCell ref="O29:Q29"/>
    <mergeCell ref="R29:T29"/>
    <mergeCell ref="O30:Q30"/>
    <mergeCell ref="R30:T30"/>
    <mergeCell ref="C29:E29"/>
    <mergeCell ref="Q77:R77"/>
    <mergeCell ref="Q47:R47"/>
    <mergeCell ref="S47:T47"/>
    <mergeCell ref="O91:T91"/>
    <mergeCell ref="L28:N28"/>
    <mergeCell ref="O28:Q28"/>
    <mergeCell ref="R28:T28"/>
    <mergeCell ref="R31:T31"/>
    <mergeCell ref="O33:Q33"/>
    <mergeCell ref="R33:T33"/>
    <mergeCell ref="O32:Q32"/>
    <mergeCell ref="R32:T32"/>
    <mergeCell ref="C126:G126"/>
    <mergeCell ref="M126:Q126"/>
    <mergeCell ref="E92:F92"/>
    <mergeCell ref="G92:H92"/>
    <mergeCell ref="I92:J92"/>
    <mergeCell ref="O92:P92"/>
    <mergeCell ref="Q92:R92"/>
    <mergeCell ref="C120:J120"/>
    <mergeCell ref="M118:T118"/>
    <mergeCell ref="M120:T120"/>
    <mergeCell ref="S92:T92"/>
    <mergeCell ref="C118:J118"/>
    <mergeCell ref="Y1:AA1"/>
    <mergeCell ref="M38:T38"/>
    <mergeCell ref="A1:B1"/>
    <mergeCell ref="R1:T1"/>
    <mergeCell ref="E62:F62"/>
    <mergeCell ref="G62:H62"/>
    <mergeCell ref="I62:J62"/>
    <mergeCell ref="M44:T44"/>
    <mergeCell ref="M43:T43"/>
    <mergeCell ref="O47:P47"/>
    <mergeCell ref="E61:J61"/>
    <mergeCell ref="S62:T62"/>
    <mergeCell ref="O61:T61"/>
    <mergeCell ref="Q62:R62"/>
    <mergeCell ref="O62:P62"/>
    <mergeCell ref="C27:E28"/>
  </mergeCells>
  <conditionalFormatting sqref="A1:Q1">
    <cfRule type="expression" dxfId="126" priority="4">
      <formula>OR(VA_FEHLER_AB&gt;0,VA_FEHLER_C&gt;0,VA_FEHLER_D&gt;0)</formula>
    </cfRule>
  </conditionalFormatting>
  <conditionalFormatting sqref="C43 M43 O49:T52 O54:P54 P56 P58 O64:T67 O69:P69 P71 P73 O79:T82 O84:P84 P86 P88 O94:T97 O99:P99 P101 P103 T125 E49:J52 E54:F54 F56 F58 E64:J67 E69:F69 F71 F73 E79:J82 E84:F84 F86 F88 E94:J97 E99:F99 F101 F103 J125">
    <cfRule type="expression" dxfId="125" priority="113">
      <formula>VA_BESTANDSEINGABE=0</formula>
    </cfRule>
  </conditionalFormatting>
  <conditionalFormatting sqref="C43 M43">
    <cfRule type="expression" dxfId="124" priority="3">
      <formula>OR(VA_BESTANDSEINGABE=0,VA_BESTANDSEINGABE=1)</formula>
    </cfRule>
  </conditionalFormatting>
  <conditionalFormatting sqref="C126:G126">
    <cfRule type="expression" dxfId="123" priority="17">
      <formula>AND(C126&lt;&gt;"",VA_BESTANDSEINGABE&gt;0)</formula>
    </cfRule>
  </conditionalFormatting>
  <conditionalFormatting sqref="C43:J43 M43 O49:T52 O54:P54 P56 P58 O64:T67 O69:P69 P71 P73 O79:T82 O84:P84 P86 P88 O94:T97 O99:P99 P101 P103 T125">
    <cfRule type="expression" dxfId="122" priority="108">
      <formula>VA_BESTANDSEINGABE=1</formula>
    </cfRule>
  </conditionalFormatting>
  <conditionalFormatting sqref="C43:J43 M43:T43 C47:J58 M47:T58 C62:J73 M62:T73 C77:J88 M77:T88 C92:J103 M92:T103 J125 T125">
    <cfRule type="expression" dxfId="121" priority="115">
      <formula>VA_BESTANDSEINGABE=0</formula>
    </cfRule>
  </conditionalFormatting>
  <conditionalFormatting sqref="C43:J43 M43:T43 M47:T58 M62:T73 M77:T88 M92:T103 T125">
    <cfRule type="expression" dxfId="120" priority="111">
      <formula>VA_BESTANDSEINGABE=1</formula>
    </cfRule>
  </conditionalFormatting>
  <conditionalFormatting sqref="C43:J103 M43:T103 C118:J126 M118:T126">
    <cfRule type="expression" dxfId="119" priority="116">
      <formula>VA_BESTANDSEINGABE=0</formula>
    </cfRule>
  </conditionalFormatting>
  <conditionalFormatting sqref="C44:J44">
    <cfRule type="expression" dxfId="118" priority="13">
      <formula>VA_ZUGANG_1&lt;&gt;""</formula>
    </cfRule>
  </conditionalFormatting>
  <conditionalFormatting sqref="E46 E61 E76 E91">
    <cfRule type="expression" dxfId="117" priority="88">
      <formula>AND(E46&lt;&gt;"",VA_BESTANDSEINGABE&gt;0)</formula>
    </cfRule>
  </conditionalFormatting>
  <conditionalFormatting sqref="F49:F52 H49:H52 J49:J52 P49:P52 R49:R52 T49:T52 F54 P54 F64:F67 H64:H67 J64:J67 P64:P67 R64:R67 T64:T67 F69 P69 F79:F82 H79:H82 J79:J82 P79:P82 R79:R82 T79:T82 F84 P84 F94:F97 H94:H97 J94:J97 P94:P97 R94:R97 T94:T97 F99 P99">
    <cfRule type="expression" dxfId="116" priority="119">
      <formula>F49&gt;E49</formula>
    </cfRule>
  </conditionalFormatting>
  <conditionalFormatting sqref="I27:T27 I34:T34">
    <cfRule type="expression" dxfId="115" priority="14">
      <formula>VA_VERKEHRSSTATION&lt;&gt;""</formula>
    </cfRule>
  </conditionalFormatting>
  <conditionalFormatting sqref="J125 T125">
    <cfRule type="expression" dxfId="114" priority="118">
      <formula>J125&gt;J126</formula>
    </cfRule>
  </conditionalFormatting>
  <conditionalFormatting sqref="L38 M40:T40">
    <cfRule type="expression" dxfId="113" priority="107">
      <formula>VA_BESTANDSEINGABE&gt;0</formula>
    </cfRule>
  </conditionalFormatting>
  <conditionalFormatting sqref="M38">
    <cfRule type="expression" dxfId="112" priority="89">
      <formula>VA_BESTANDSEINGABE=0</formula>
    </cfRule>
  </conditionalFormatting>
  <conditionalFormatting sqref="M44 O46 O61 O76 O91 M126:T126 E46 E61 E76 E91 C126:J126 C41:T41 C44">
    <cfRule type="expression" dxfId="111" priority="114">
      <formula>VA_BESTANDSEINGABE=0</formula>
    </cfRule>
  </conditionalFormatting>
  <conditionalFormatting sqref="M44">
    <cfRule type="expression" dxfId="110" priority="12">
      <formula>VA_ZUGANG_2&lt;&gt;""</formula>
    </cfRule>
  </conditionalFormatting>
  <conditionalFormatting sqref="M126:Q126">
    <cfRule type="expression" dxfId="109" priority="15">
      <formula>AND(M126&lt;&gt;"",VA_BESTANDSEINGABE=2)</formula>
    </cfRule>
  </conditionalFormatting>
  <conditionalFormatting sqref="M43:T103 M120:T126 C43:J43">
    <cfRule type="expression" dxfId="108" priority="112">
      <formula>VA_BESTANDSEINGABE=1</formula>
    </cfRule>
  </conditionalFormatting>
  <conditionalFormatting sqref="O46 O61 O76 O91 M126:T126 M41:T41 C44:J44 M44">
    <cfRule type="expression" dxfId="107" priority="109">
      <formula>VA_BESTANDSEINGABE=1</formula>
    </cfRule>
  </conditionalFormatting>
  <conditionalFormatting sqref="O46 O61 O76 O91">
    <cfRule type="expression" dxfId="106" priority="18">
      <formula>AND(O46&lt;&gt;"",VA_BESTANDSEINGABE=2)</formula>
    </cfRule>
  </conditionalFormatting>
  <conditionalFormatting sqref="Y1">
    <cfRule type="expression" dxfId="105" priority="1">
      <formula>V_ARBEIT=0</formula>
    </cfRule>
  </conditionalFormatting>
  <dataValidations count="5">
    <dataValidation type="whole" operator="greaterThanOrEqual" allowBlank="1" showErrorMessage="1" errorTitle="Eingabefehler" error="Nur ganze, positive Zahlen sowie 0 erlaubt." sqref="E49:J52 O49:T52 T125 E64:J67 F58 O64:T67 P58 E79:J82 F73 O79:T82 O84:P84 E94:J97 O54:P54 O94:T97 O99:P99 E99:F99 O69:P69 E54:F54 E69:F69 P88 P73 F88 F103 E84:F84 J125 F56 P56 F71 P71 P86 F86 F101 P101 P103" xr:uid="{D12C5972-B31B-40BF-9577-9E61ECF6F61A}">
      <formula1>0</formula1>
    </dataValidation>
    <dataValidation type="textLength" allowBlank="1" showInputMessage="1" showErrorMessage="1" errorTitle="Eingabefehler" error="Texteingabe begrenzt auf 55 Zeichen (inkl. Leerzeichen)." sqref="I26:T26 M43:T43 C43:J43" xr:uid="{921A01A0-14E4-4E27-8992-C62F3C03929C}">
      <formula1>0</formula1>
      <formula2>55</formula2>
    </dataValidation>
    <dataValidation type="list" allowBlank="1" showErrorMessage="1" errorTitle="Eingabefehler" error="Bitte Eintrag aus der Auswahlliste wählen." sqref="M38" xr:uid="{3D845185-8C75-4AD5-B2E2-E321BB1A71E1}">
      <formula1>R_BESTANDSEINGABE</formula1>
    </dataValidation>
    <dataValidation type="textLength" operator="lessThanOrEqual" allowBlank="1" showInputMessage="1" showErrorMessage="1" errorTitle="Eingabefehler" error="Es sind maximal 25 Zeichen (inkl. Leerzeichen) erlaubt." sqref="F31:T33" xr:uid="{AFE0AC52-52FE-4E88-B989-513AA2EF5BF5}">
      <formula1>25</formula1>
    </dataValidation>
    <dataValidation type="textLength" operator="lessThanOrEqual" allowBlank="1" showInputMessage="1" showErrorMessage="1" errorTitle="Eingabefehler" error="Es sind maximal 15 Zeichen (inkl. Leerzeichen) erlaubt." sqref="F29:T30" xr:uid="{70E97354-1823-4004-B999-BDAB960AB190}">
      <formula1>15</formula1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fitToHeight="0" orientation="portrait" errors="blank" horizontalDpi="1200" verticalDpi="1200" r:id="rId1"/>
  <headerFooter scaleWithDoc="0">
    <oddHeader>&amp;L&amp;13Bestandseingabe und Auslastung&amp;R&amp;G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BB572-9A95-4331-8D52-7E69C7417CE5}">
  <sheetPr codeName="Sheet3">
    <tabColor theme="6" tint="0.59999389629810485"/>
    <pageSetUpPr autoPageBreaks="0" fitToPage="1"/>
  </sheetPr>
  <dimension ref="A1:AA108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W4" s="204"/>
    </row>
    <row r="5" spans="1:27" ht="32.1" customHeight="1" x14ac:dyDescent="0.25">
      <c r="B5" s="257"/>
      <c r="C5" s="258" t="s">
        <v>12</v>
      </c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60"/>
      <c r="W5" s="204"/>
    </row>
    <row r="6" spans="1:27" ht="14.1" customHeight="1" x14ac:dyDescent="0.25">
      <c r="B6" s="245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18" customHeight="1" x14ac:dyDescent="0.25">
      <c r="B7" s="245"/>
      <c r="C7" s="202" t="s">
        <v>62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6" customHeight="1" x14ac:dyDescent="0.25">
      <c r="A8" s="227"/>
      <c r="B8" s="245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46"/>
      <c r="W8" s="204"/>
    </row>
    <row r="9" spans="1:27" ht="18" customHeight="1" x14ac:dyDescent="0.25">
      <c r="A9" s="227"/>
      <c r="B9" s="245"/>
      <c r="C9" s="202" t="s">
        <v>908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</row>
    <row r="10" spans="1:27" ht="6" customHeight="1" x14ac:dyDescent="0.25">
      <c r="A10" s="227"/>
      <c r="B10" s="245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46"/>
      <c r="W10" s="204"/>
    </row>
    <row r="11" spans="1:27" ht="18" customHeight="1" x14ac:dyDescent="0.25">
      <c r="A11" s="227"/>
      <c r="B11" s="245"/>
      <c r="C11" s="202" t="s">
        <v>811</v>
      </c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46"/>
      <c r="W11" s="204"/>
      <c r="X11" s="501"/>
    </row>
    <row r="12" spans="1:27" ht="18" customHeight="1" x14ac:dyDescent="0.25">
      <c r="A12" s="227"/>
      <c r="B12" s="245"/>
      <c r="C12" s="202" t="s">
        <v>288</v>
      </c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46"/>
      <c r="W12" s="204"/>
      <c r="X12" s="501"/>
    </row>
    <row r="13" spans="1:27" ht="18" customHeight="1" x14ac:dyDescent="0.25">
      <c r="A13" s="227"/>
      <c r="B13" s="245"/>
      <c r="C13" s="202" t="s">
        <v>813</v>
      </c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46"/>
      <c r="W13" s="204"/>
      <c r="X13" s="501"/>
    </row>
    <row r="14" spans="1:27" ht="14.1" customHeight="1" x14ac:dyDescent="0.25">
      <c r="A14" s="227"/>
      <c r="B14" s="245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46"/>
      <c r="W14" s="204"/>
      <c r="X14" s="501"/>
    </row>
    <row r="15" spans="1:27" ht="24" customHeight="1" x14ac:dyDescent="0.25">
      <c r="A15" s="227"/>
      <c r="B15" s="685"/>
      <c r="C15" s="792" t="s">
        <v>815</v>
      </c>
      <c r="D15" s="792"/>
      <c r="E15" s="792"/>
      <c r="F15" s="792"/>
      <c r="G15" s="792"/>
      <c r="H15" s="792"/>
      <c r="I15" s="792"/>
      <c r="J15" s="792"/>
      <c r="K15" s="792"/>
      <c r="L15" s="792"/>
      <c r="M15" s="792"/>
      <c r="N15" s="792"/>
      <c r="O15" s="792"/>
      <c r="P15" s="792"/>
      <c r="Q15" s="792"/>
      <c r="R15" s="792"/>
      <c r="S15" s="792"/>
      <c r="T15" s="792"/>
      <c r="U15" s="394"/>
      <c r="W15" s="204"/>
      <c r="X15" s="501"/>
    </row>
    <row r="16" spans="1:27" ht="14.1" customHeight="1" x14ac:dyDescent="0.25">
      <c r="A16" s="227"/>
      <c r="B16" s="293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6"/>
      <c r="W16" s="204"/>
      <c r="X16" s="501"/>
    </row>
    <row r="17" spans="1:24" ht="24" customHeight="1" x14ac:dyDescent="0.25">
      <c r="A17" s="227"/>
      <c r="B17" s="291"/>
      <c r="C17" s="234" t="str">
        <f>IF(VA_VERKEHRSSTATION="","Ein- und Aussteiger heute","Ein- und Aussteiger heute an Verkehrsstation "&amp;VA_VERKEHRSSTATION)</f>
        <v>Ein- und Aussteiger heute</v>
      </c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35"/>
      <c r="W17" s="204"/>
      <c r="X17" s="501"/>
    </row>
    <row r="18" spans="1:24" ht="14.1" customHeight="1" x14ac:dyDescent="0.25">
      <c r="A18" s="227"/>
      <c r="B18" s="255"/>
      <c r="L18" s="303"/>
      <c r="U18" s="227"/>
      <c r="W18" s="204"/>
      <c r="X18" s="501"/>
    </row>
    <row r="19" spans="1:24" ht="18" customHeight="1" x14ac:dyDescent="0.25">
      <c r="A19" s="227"/>
      <c r="B19" s="255"/>
      <c r="C19" s="203" t="s">
        <v>56</v>
      </c>
      <c r="L19" s="303"/>
      <c r="N19" s="1157"/>
      <c r="O19" s="1158"/>
      <c r="Q19" s="304" t="s">
        <v>70</v>
      </c>
      <c r="U19" s="227"/>
      <c r="W19" s="204"/>
      <c r="X19" s="501"/>
    </row>
    <row r="20" spans="1:24" ht="14.1" customHeight="1" x14ac:dyDescent="0.25">
      <c r="A20" s="227"/>
      <c r="B20" s="236"/>
      <c r="C20" s="237"/>
      <c r="D20" s="237"/>
      <c r="E20" s="237"/>
      <c r="F20" s="237"/>
      <c r="G20" s="237"/>
      <c r="H20" s="237"/>
      <c r="I20" s="237"/>
      <c r="J20" s="237"/>
      <c r="K20" s="237"/>
      <c r="L20" s="305"/>
      <c r="M20" s="237"/>
      <c r="N20" s="237"/>
      <c r="O20" s="237"/>
      <c r="P20" s="237"/>
      <c r="Q20" s="237"/>
      <c r="R20" s="237"/>
      <c r="S20" s="237"/>
      <c r="T20" s="237"/>
      <c r="U20" s="239"/>
      <c r="W20" s="204"/>
      <c r="X20" s="501"/>
    </row>
    <row r="21" spans="1:24" ht="24" customHeight="1" x14ac:dyDescent="0.25">
      <c r="A21" s="227"/>
      <c r="B21" s="272"/>
      <c r="C21" s="306" t="s">
        <v>212</v>
      </c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238"/>
      <c r="W21" s="204"/>
      <c r="X21" s="501"/>
    </row>
    <row r="22" spans="1:24" ht="14.1" customHeight="1" x14ac:dyDescent="0.25">
      <c r="A22" s="227"/>
      <c r="B22" s="255"/>
      <c r="U22" s="227"/>
      <c r="W22" s="204"/>
      <c r="X22" s="501"/>
    </row>
    <row r="23" spans="1:24" ht="18" customHeight="1" x14ac:dyDescent="0.25">
      <c r="A23" s="227"/>
      <c r="B23" s="255"/>
      <c r="C23" s="261" t="s">
        <v>810</v>
      </c>
      <c r="N23" s="1155" t="s">
        <v>24</v>
      </c>
      <c r="O23" s="1161"/>
      <c r="P23" s="1161"/>
      <c r="Q23" s="1161"/>
      <c r="R23" s="1161"/>
      <c r="S23" s="1156"/>
      <c r="U23" s="227"/>
      <c r="W23" s="204"/>
      <c r="X23" s="501"/>
    </row>
    <row r="24" spans="1:24" ht="18" customHeight="1" x14ac:dyDescent="0.25">
      <c r="A24" s="227"/>
      <c r="B24" s="308"/>
      <c r="C24" s="309"/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10"/>
      <c r="O24" s="310"/>
      <c r="P24" s="310"/>
      <c r="Q24" s="310"/>
      <c r="R24" s="310"/>
      <c r="S24" s="310"/>
      <c r="T24" s="309"/>
      <c r="U24" s="311"/>
      <c r="W24" s="204"/>
      <c r="X24" s="501"/>
    </row>
    <row r="25" spans="1:24" s="286" customFormat="1" ht="20.100000000000001" hidden="1" customHeight="1" x14ac:dyDescent="0.25">
      <c r="A25" s="312"/>
      <c r="B25" s="313"/>
      <c r="C25" s="314" t="s">
        <v>55</v>
      </c>
      <c r="L25" s="315"/>
      <c r="Q25" s="203"/>
      <c r="U25" s="312"/>
      <c r="W25" s="316"/>
      <c r="X25" s="526"/>
    </row>
    <row r="26" spans="1:24" ht="3.95" hidden="1" customHeight="1" x14ac:dyDescent="0.25">
      <c r="A26" s="227"/>
      <c r="B26" s="255"/>
      <c r="L26" s="303"/>
      <c r="U26" s="227"/>
      <c r="W26" s="204"/>
      <c r="X26" s="501"/>
    </row>
    <row r="27" spans="1:24" ht="18" hidden="1" customHeight="1" x14ac:dyDescent="0.25">
      <c r="A27" s="227"/>
      <c r="B27" s="255"/>
      <c r="C27" s="317" t="s">
        <v>57</v>
      </c>
      <c r="L27" s="303"/>
      <c r="N27" s="1157"/>
      <c r="O27" s="1158"/>
      <c r="Q27" s="304" t="s">
        <v>70</v>
      </c>
      <c r="U27" s="227"/>
      <c r="W27" s="204"/>
      <c r="X27" s="501"/>
    </row>
    <row r="28" spans="1:24" ht="14.1" hidden="1" customHeight="1" x14ac:dyDescent="0.25">
      <c r="A28" s="227"/>
      <c r="B28" s="308"/>
      <c r="C28" s="309"/>
      <c r="D28" s="309"/>
      <c r="E28" s="309"/>
      <c r="F28" s="309"/>
      <c r="G28" s="309"/>
      <c r="H28" s="309"/>
      <c r="I28" s="309"/>
      <c r="J28" s="309"/>
      <c r="K28" s="309"/>
      <c r="L28" s="318"/>
      <c r="M28" s="309"/>
      <c r="N28" s="309"/>
      <c r="O28" s="309"/>
      <c r="P28" s="309"/>
      <c r="Q28" s="309"/>
      <c r="R28" s="309"/>
      <c r="S28" s="309"/>
      <c r="T28" s="309"/>
      <c r="U28" s="311"/>
      <c r="W28" s="204"/>
      <c r="X28" s="501"/>
    </row>
    <row r="29" spans="1:24" ht="20.100000000000001" customHeight="1" x14ac:dyDescent="0.25">
      <c r="A29" s="227"/>
      <c r="B29" s="255"/>
      <c r="C29" s="314" t="s">
        <v>814</v>
      </c>
      <c r="L29" s="303"/>
      <c r="U29" s="227"/>
      <c r="W29" s="204"/>
      <c r="X29" s="501"/>
    </row>
    <row r="30" spans="1:24" ht="3.95" customHeight="1" x14ac:dyDescent="0.25">
      <c r="A30" s="227"/>
      <c r="B30" s="255"/>
      <c r="L30" s="303"/>
      <c r="U30" s="227"/>
      <c r="W30" s="204"/>
      <c r="X30" s="501"/>
    </row>
    <row r="31" spans="1:24" ht="18" customHeight="1" x14ac:dyDescent="0.25">
      <c r="A31" s="227"/>
      <c r="B31" s="255"/>
      <c r="C31" s="317" t="s">
        <v>158</v>
      </c>
      <c r="L31" s="303"/>
      <c r="N31" s="1162"/>
      <c r="O31" s="1163"/>
      <c r="Q31" s="304" t="s">
        <v>70</v>
      </c>
      <c r="U31" s="227"/>
      <c r="W31" s="204"/>
      <c r="X31" s="501"/>
    </row>
    <row r="32" spans="1:24" ht="14.1" customHeight="1" x14ac:dyDescent="0.25">
      <c r="A32" s="227"/>
      <c r="B32" s="255"/>
      <c r="L32" s="303"/>
      <c r="U32" s="227"/>
      <c r="W32" s="204"/>
      <c r="X32" s="501"/>
    </row>
    <row r="33" spans="1:24" ht="14.1" customHeight="1" x14ac:dyDescent="0.25">
      <c r="A33" s="227"/>
      <c r="B33" s="255"/>
      <c r="C33" s="319" t="s">
        <v>58</v>
      </c>
      <c r="L33" s="303"/>
      <c r="U33" s="227"/>
      <c r="W33" s="204"/>
      <c r="X33" s="501"/>
    </row>
    <row r="34" spans="1:24" ht="3.95" customHeight="1" x14ac:dyDescent="0.25">
      <c r="A34" s="227"/>
      <c r="B34" s="255"/>
      <c r="L34" s="303"/>
      <c r="U34" s="227"/>
      <c r="W34" s="204"/>
      <c r="X34" s="501"/>
    </row>
    <row r="35" spans="1:24" ht="18" customHeight="1" x14ac:dyDescent="0.25">
      <c r="A35" s="227"/>
      <c r="B35" s="255"/>
      <c r="C35" s="317" t="s">
        <v>285</v>
      </c>
      <c r="L35" s="303"/>
      <c r="N35" s="1157"/>
      <c r="O35" s="1158"/>
      <c r="Q35" s="304" t="s">
        <v>67</v>
      </c>
      <c r="R35" s="304" t="s">
        <v>71</v>
      </c>
      <c r="U35" s="227"/>
      <c r="W35" s="204"/>
      <c r="X35" s="501"/>
    </row>
    <row r="36" spans="1:24" ht="3.95" customHeight="1" x14ac:dyDescent="0.25">
      <c r="A36" s="227"/>
      <c r="B36" s="255"/>
      <c r="L36" s="303"/>
      <c r="Q36" s="302"/>
      <c r="R36" s="302"/>
      <c r="U36" s="227"/>
      <c r="W36" s="204"/>
      <c r="X36" s="501"/>
    </row>
    <row r="37" spans="1:24" ht="18" customHeight="1" x14ac:dyDescent="0.25">
      <c r="A37" s="227"/>
      <c r="B37" s="255"/>
      <c r="C37" s="317" t="s">
        <v>59</v>
      </c>
      <c r="L37" s="303"/>
      <c r="N37" s="1164"/>
      <c r="O37" s="1165"/>
      <c r="P37" s="320" t="s">
        <v>11</v>
      </c>
      <c r="Q37" s="304" t="s">
        <v>67</v>
      </c>
      <c r="R37" s="304" t="s">
        <v>71</v>
      </c>
      <c r="U37" s="227"/>
      <c r="W37" s="204"/>
      <c r="X37" s="501"/>
    </row>
    <row r="38" spans="1:24" ht="14.1" customHeight="1" x14ac:dyDescent="0.25">
      <c r="A38" s="227"/>
      <c r="B38" s="308"/>
      <c r="C38" s="309"/>
      <c r="D38" s="309"/>
      <c r="E38" s="309"/>
      <c r="F38" s="309"/>
      <c r="G38" s="309"/>
      <c r="H38" s="309"/>
      <c r="I38" s="309"/>
      <c r="J38" s="309"/>
      <c r="K38" s="309"/>
      <c r="L38" s="318"/>
      <c r="M38" s="309"/>
      <c r="N38" s="309"/>
      <c r="O38" s="309"/>
      <c r="P38" s="309"/>
      <c r="Q38" s="309"/>
      <c r="R38" s="309"/>
      <c r="S38" s="309"/>
      <c r="T38" s="309"/>
      <c r="U38" s="311"/>
      <c r="W38" s="204"/>
      <c r="X38" s="501"/>
    </row>
    <row r="39" spans="1:24" ht="20.100000000000001" customHeight="1" x14ac:dyDescent="0.25">
      <c r="A39" s="227"/>
      <c r="B39" s="255"/>
      <c r="C39" s="314" t="s">
        <v>60</v>
      </c>
      <c r="L39" s="321"/>
      <c r="U39" s="227"/>
      <c r="W39" s="204"/>
      <c r="X39" s="501"/>
    </row>
    <row r="40" spans="1:24" ht="3.95" customHeight="1" x14ac:dyDescent="0.25">
      <c r="A40" s="227"/>
      <c r="B40" s="255"/>
      <c r="L40" s="303"/>
      <c r="U40" s="227"/>
      <c r="W40" s="204"/>
      <c r="X40" s="501"/>
    </row>
    <row r="41" spans="1:24" ht="18" customHeight="1" x14ac:dyDescent="0.25">
      <c r="A41" s="227"/>
      <c r="B41" s="255"/>
      <c r="C41" s="317" t="s">
        <v>277</v>
      </c>
      <c r="L41" s="303"/>
      <c r="N41" s="1157"/>
      <c r="O41" s="1158"/>
      <c r="Q41" s="304" t="s">
        <v>70</v>
      </c>
      <c r="U41" s="227"/>
      <c r="W41" s="204"/>
      <c r="X41" s="501"/>
    </row>
    <row r="42" spans="1:24" ht="3.95" customHeight="1" x14ac:dyDescent="0.25">
      <c r="A42" s="227"/>
      <c r="B42" s="255"/>
      <c r="L42" s="303"/>
      <c r="U42" s="227"/>
      <c r="W42" s="204"/>
      <c r="X42" s="501"/>
    </row>
    <row r="43" spans="1:24" ht="18" customHeight="1" x14ac:dyDescent="0.25">
      <c r="A43" s="227"/>
      <c r="B43" s="255"/>
      <c r="C43" s="317" t="s">
        <v>61</v>
      </c>
      <c r="L43" s="303"/>
      <c r="N43" s="1162"/>
      <c r="O43" s="1163"/>
      <c r="Q43" s="304" t="s">
        <v>70</v>
      </c>
      <c r="U43" s="227"/>
      <c r="W43" s="204"/>
      <c r="X43" s="501"/>
    </row>
    <row r="44" spans="1:24" ht="14.1" customHeight="1" x14ac:dyDescent="0.25">
      <c r="A44" s="227"/>
      <c r="B44" s="255"/>
      <c r="L44" s="303"/>
      <c r="U44" s="227"/>
      <c r="W44" s="204"/>
      <c r="X44" s="501"/>
    </row>
    <row r="45" spans="1:24" ht="18" customHeight="1" x14ac:dyDescent="0.25">
      <c r="A45" s="227"/>
      <c r="B45" s="255"/>
      <c r="C45" s="319" t="s">
        <v>58</v>
      </c>
      <c r="L45" s="303"/>
      <c r="U45" s="227"/>
      <c r="W45" s="204"/>
      <c r="X45" s="501"/>
    </row>
    <row r="46" spans="1:24" ht="3.95" customHeight="1" x14ac:dyDescent="0.25">
      <c r="A46" s="227"/>
      <c r="B46" s="255"/>
      <c r="L46" s="303"/>
      <c r="U46" s="227"/>
      <c r="W46" s="204"/>
      <c r="X46" s="501"/>
    </row>
    <row r="47" spans="1:24" ht="18" customHeight="1" x14ac:dyDescent="0.25">
      <c r="A47" s="227"/>
      <c r="B47" s="255"/>
      <c r="C47" s="317" t="s">
        <v>278</v>
      </c>
      <c r="L47" s="303"/>
      <c r="N47" s="1157"/>
      <c r="O47" s="1158"/>
      <c r="Q47" s="304" t="s">
        <v>67</v>
      </c>
      <c r="R47" s="304" t="s">
        <v>71</v>
      </c>
      <c r="U47" s="227"/>
      <c r="W47" s="204"/>
      <c r="X47" s="501"/>
    </row>
    <row r="48" spans="1:24" ht="3.95" customHeight="1" x14ac:dyDescent="0.25">
      <c r="A48" s="227"/>
      <c r="B48" s="255"/>
      <c r="L48" s="303"/>
      <c r="Q48" s="302"/>
      <c r="R48" s="302"/>
      <c r="U48" s="227"/>
      <c r="W48" s="204"/>
      <c r="X48" s="501"/>
    </row>
    <row r="49" spans="1:24" ht="18" customHeight="1" x14ac:dyDescent="0.25">
      <c r="A49" s="227"/>
      <c r="B49" s="255"/>
      <c r="C49" s="317" t="s">
        <v>279</v>
      </c>
      <c r="L49" s="303"/>
      <c r="N49" s="1164"/>
      <c r="O49" s="1165"/>
      <c r="P49" s="320" t="s">
        <v>11</v>
      </c>
      <c r="Q49" s="304" t="s">
        <v>67</v>
      </c>
      <c r="R49" s="304" t="s">
        <v>71</v>
      </c>
      <c r="U49" s="227"/>
      <c r="W49" s="204"/>
      <c r="X49" s="501"/>
    </row>
    <row r="50" spans="1:24" ht="14.1" customHeight="1" x14ac:dyDescent="0.25">
      <c r="A50" s="227"/>
      <c r="B50" s="255"/>
      <c r="L50" s="303"/>
      <c r="U50" s="227"/>
      <c r="W50" s="204"/>
      <c r="X50" s="501"/>
    </row>
    <row r="51" spans="1:24" ht="20.100000000000001" customHeight="1" x14ac:dyDescent="0.25">
      <c r="A51" s="227"/>
      <c r="B51" s="255"/>
      <c r="C51" s="314" t="s">
        <v>298</v>
      </c>
      <c r="L51" s="303"/>
      <c r="U51" s="227"/>
      <c r="W51" s="204"/>
      <c r="X51" s="501"/>
    </row>
    <row r="52" spans="1:24" ht="3.95" customHeight="1" x14ac:dyDescent="0.25">
      <c r="A52" s="227"/>
      <c r="B52" s="255"/>
      <c r="L52" s="303"/>
      <c r="U52" s="227"/>
      <c r="W52" s="204"/>
      <c r="X52" s="501"/>
    </row>
    <row r="53" spans="1:24" ht="18" customHeight="1" x14ac:dyDescent="0.25">
      <c r="A53" s="227"/>
      <c r="B53" s="255"/>
      <c r="C53" s="317" t="s">
        <v>155</v>
      </c>
      <c r="L53" s="303"/>
      <c r="N53" s="1155" t="s">
        <v>82</v>
      </c>
      <c r="O53" s="1161"/>
      <c r="P53" s="1156"/>
      <c r="Q53" s="684" t="s">
        <v>74</v>
      </c>
      <c r="U53" s="227"/>
      <c r="W53" s="204"/>
      <c r="X53" s="501"/>
    </row>
    <row r="54" spans="1:24" ht="18" customHeight="1" x14ac:dyDescent="0.25">
      <c r="A54" s="227"/>
      <c r="B54" s="255"/>
      <c r="C54" s="395" t="s">
        <v>300</v>
      </c>
      <c r="L54" s="303"/>
      <c r="Q54" s="684"/>
      <c r="U54" s="227"/>
      <c r="W54" s="204"/>
      <c r="X54" s="501"/>
    </row>
    <row r="55" spans="1:24" ht="14.1" customHeight="1" x14ac:dyDescent="0.25">
      <c r="A55" s="227"/>
      <c r="B55" s="308"/>
      <c r="C55" s="309"/>
      <c r="D55" s="309"/>
      <c r="E55" s="309"/>
      <c r="F55" s="309"/>
      <c r="G55" s="309"/>
      <c r="H55" s="309"/>
      <c r="I55" s="309"/>
      <c r="J55" s="309"/>
      <c r="K55" s="309"/>
      <c r="L55" s="318"/>
      <c r="M55" s="309"/>
      <c r="N55" s="309"/>
      <c r="O55" s="309"/>
      <c r="P55" s="309"/>
      <c r="Q55" s="309"/>
      <c r="R55" s="309"/>
      <c r="S55" s="309"/>
      <c r="T55" s="309"/>
      <c r="U55" s="311"/>
      <c r="W55" s="204"/>
      <c r="X55" s="501"/>
    </row>
    <row r="56" spans="1:24" ht="20.100000000000001" customHeight="1" x14ac:dyDescent="0.25">
      <c r="A56" s="227"/>
      <c r="B56" s="255"/>
      <c r="C56" s="314" t="s">
        <v>16</v>
      </c>
      <c r="M56" s="322"/>
      <c r="U56" s="227"/>
      <c r="W56" s="204"/>
      <c r="X56" s="501"/>
    </row>
    <row r="57" spans="1:24" ht="3.95" customHeight="1" x14ac:dyDescent="0.25">
      <c r="A57" s="227"/>
      <c r="B57" s="255"/>
      <c r="L57" s="303"/>
      <c r="U57" s="227"/>
      <c r="W57" s="204"/>
      <c r="X57" s="501"/>
    </row>
    <row r="58" spans="1:24" ht="18" customHeight="1" x14ac:dyDescent="0.25">
      <c r="A58" s="227"/>
      <c r="B58" s="255"/>
      <c r="C58" s="320" t="s">
        <v>69</v>
      </c>
      <c r="L58" s="303"/>
      <c r="N58" s="1164"/>
      <c r="O58" s="1165"/>
      <c r="P58" s="320" t="s">
        <v>11</v>
      </c>
      <c r="Q58" s="304" t="s">
        <v>70</v>
      </c>
      <c r="U58" s="227"/>
      <c r="W58" s="204"/>
      <c r="X58" s="501"/>
    </row>
    <row r="59" spans="1:24" ht="14.1" customHeight="1" thickBot="1" x14ac:dyDescent="0.3">
      <c r="A59" s="227"/>
      <c r="B59" s="256"/>
      <c r="C59" s="240"/>
      <c r="D59" s="240"/>
      <c r="E59" s="240"/>
      <c r="F59" s="240"/>
      <c r="G59" s="240"/>
      <c r="H59" s="240"/>
      <c r="I59" s="240"/>
      <c r="J59" s="240"/>
      <c r="K59" s="240"/>
      <c r="L59" s="323"/>
      <c r="M59" s="240"/>
      <c r="N59" s="240"/>
      <c r="O59" s="240"/>
      <c r="P59" s="240"/>
      <c r="Q59" s="240"/>
      <c r="R59" s="240"/>
      <c r="S59" s="240"/>
      <c r="T59" s="240"/>
      <c r="U59" s="241"/>
      <c r="W59" s="204"/>
      <c r="X59" s="501"/>
    </row>
    <row r="60" spans="1:24" ht="18" customHeight="1" thickBot="1" x14ac:dyDescent="0.3">
      <c r="W60" s="204"/>
      <c r="X60" s="501"/>
    </row>
    <row r="61" spans="1:24" ht="32.1" customHeight="1" x14ac:dyDescent="0.25">
      <c r="B61" s="257"/>
      <c r="C61" s="258" t="s">
        <v>755</v>
      </c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60"/>
      <c r="W61" s="204"/>
      <c r="X61" s="501"/>
    </row>
    <row r="62" spans="1:24" ht="14.1" customHeight="1" x14ac:dyDescent="0.25">
      <c r="B62" s="245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46"/>
      <c r="W62" s="204"/>
      <c r="X62" s="501"/>
    </row>
    <row r="63" spans="1:24" ht="18" customHeight="1" x14ac:dyDescent="0.25">
      <c r="B63" s="245"/>
      <c r="C63" s="202" t="s">
        <v>756</v>
      </c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46"/>
      <c r="W63" s="204"/>
      <c r="X63" s="501"/>
    </row>
    <row r="64" spans="1:24" ht="18" customHeight="1" x14ac:dyDescent="0.25">
      <c r="B64" s="245"/>
      <c r="C64" s="202" t="s">
        <v>207</v>
      </c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46"/>
      <c r="W64" s="204"/>
      <c r="X64" s="501"/>
    </row>
    <row r="65" spans="1:24" ht="6" customHeight="1" x14ac:dyDescent="0.25">
      <c r="B65" s="245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46"/>
      <c r="W65" s="204"/>
      <c r="X65" s="501"/>
    </row>
    <row r="66" spans="1:24" ht="18" customHeight="1" x14ac:dyDescent="0.25">
      <c r="B66" s="245"/>
      <c r="C66" s="202" t="s">
        <v>757</v>
      </c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46"/>
      <c r="W66" s="204"/>
      <c r="X66" s="501"/>
    </row>
    <row r="67" spans="1:24" ht="18" customHeight="1" x14ac:dyDescent="0.25">
      <c r="B67" s="245"/>
      <c r="C67" s="202" t="s">
        <v>758</v>
      </c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46"/>
      <c r="W67" s="204"/>
      <c r="X67" s="501"/>
    </row>
    <row r="68" spans="1:24" ht="6" customHeight="1" x14ac:dyDescent="0.25">
      <c r="B68" s="245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46"/>
      <c r="W68" s="204"/>
      <c r="X68" s="501"/>
    </row>
    <row r="69" spans="1:24" ht="18" customHeight="1" x14ac:dyDescent="0.25">
      <c r="B69" s="245"/>
      <c r="C69" s="202" t="s">
        <v>759</v>
      </c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46"/>
      <c r="W69" s="204"/>
      <c r="X69" s="501"/>
    </row>
    <row r="70" spans="1:24" ht="14.1" customHeight="1" x14ac:dyDescent="0.25">
      <c r="B70" s="245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46"/>
      <c r="W70" s="204"/>
      <c r="X70" s="501"/>
    </row>
    <row r="71" spans="1:24" ht="18" customHeight="1" x14ac:dyDescent="0.25">
      <c r="B71" s="245"/>
      <c r="C71" s="324" t="s">
        <v>760</v>
      </c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46"/>
      <c r="W71" s="204"/>
      <c r="X71" s="501"/>
    </row>
    <row r="72" spans="1:24" ht="6" customHeight="1" x14ac:dyDescent="0.25">
      <c r="B72" s="245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46"/>
      <c r="W72" s="204"/>
      <c r="X72" s="501"/>
    </row>
    <row r="73" spans="1:24" ht="18" customHeight="1" x14ac:dyDescent="0.25">
      <c r="B73" s="245"/>
      <c r="C73" s="202" t="s">
        <v>281</v>
      </c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46"/>
      <c r="W73" s="204"/>
      <c r="X73" s="501"/>
    </row>
    <row r="74" spans="1:24" ht="18" customHeight="1" x14ac:dyDescent="0.25">
      <c r="A74" s="227"/>
      <c r="B74" s="245"/>
      <c r="C74" s="202" t="s">
        <v>280</v>
      </c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46"/>
      <c r="W74" s="204"/>
      <c r="X74" s="501"/>
    </row>
    <row r="75" spans="1:24" ht="18" customHeight="1" x14ac:dyDescent="0.25">
      <c r="A75" s="227"/>
      <c r="B75" s="245"/>
      <c r="C75" s="202" t="s">
        <v>761</v>
      </c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46"/>
      <c r="W75" s="204"/>
      <c r="X75" s="501"/>
    </row>
    <row r="76" spans="1:24" ht="6" customHeight="1" x14ac:dyDescent="0.25">
      <c r="A76" s="227"/>
      <c r="B76" s="245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46"/>
      <c r="W76" s="204"/>
      <c r="X76" s="501"/>
    </row>
    <row r="77" spans="1:24" ht="18" customHeight="1" x14ac:dyDescent="0.25">
      <c r="A77" s="227"/>
      <c r="B77" s="245"/>
      <c r="C77" s="202" t="s">
        <v>762</v>
      </c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46"/>
      <c r="W77" s="204"/>
      <c r="X77" s="501"/>
    </row>
    <row r="78" spans="1:24" ht="6" customHeight="1" x14ac:dyDescent="0.25">
      <c r="A78" s="227"/>
      <c r="B78" s="245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46"/>
      <c r="W78" s="204"/>
      <c r="X78" s="501"/>
    </row>
    <row r="79" spans="1:24" ht="18" customHeight="1" x14ac:dyDescent="0.25">
      <c r="A79" s="227"/>
      <c r="B79" s="245"/>
      <c r="C79" s="202" t="s">
        <v>763</v>
      </c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46"/>
      <c r="W79" s="204"/>
      <c r="X79" s="501"/>
    </row>
    <row r="80" spans="1:24" ht="6" customHeight="1" x14ac:dyDescent="0.25">
      <c r="A80" s="227"/>
      <c r="B80" s="245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46"/>
      <c r="W80" s="204"/>
      <c r="X80" s="501"/>
    </row>
    <row r="81" spans="1:24" ht="18" customHeight="1" x14ac:dyDescent="0.25">
      <c r="A81" s="227"/>
      <c r="B81" s="245"/>
      <c r="C81" s="202" t="s">
        <v>764</v>
      </c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46"/>
      <c r="W81" s="204"/>
      <c r="X81" s="501"/>
    </row>
    <row r="82" spans="1:24" ht="14.1" customHeight="1" x14ac:dyDescent="0.25">
      <c r="B82" s="293"/>
      <c r="C82" s="295"/>
      <c r="D82" s="295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6"/>
      <c r="W82" s="204"/>
      <c r="X82" s="501"/>
    </row>
    <row r="83" spans="1:24" ht="24" customHeight="1" x14ac:dyDescent="0.25">
      <c r="A83" s="227"/>
      <c r="B83" s="291"/>
      <c r="C83" s="234" t="s">
        <v>765</v>
      </c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35"/>
      <c r="W83" s="204"/>
      <c r="X83" s="501"/>
    </row>
    <row r="84" spans="1:24" ht="14.1" customHeight="1" x14ac:dyDescent="0.25">
      <c r="A84" s="227"/>
      <c r="B84" s="255"/>
      <c r="L84" s="303"/>
      <c r="M84" s="1159" t="s">
        <v>177</v>
      </c>
      <c r="N84" s="1166" t="s">
        <v>241</v>
      </c>
      <c r="O84" s="1167"/>
      <c r="P84" s="1167"/>
      <c r="Q84" s="1167"/>
      <c r="R84" s="1167"/>
      <c r="S84" s="1167"/>
      <c r="T84" s="1167"/>
      <c r="U84" s="1168"/>
      <c r="W84" s="204"/>
      <c r="X84" s="501"/>
    </row>
    <row r="85" spans="1:24" ht="18" customHeight="1" x14ac:dyDescent="0.25">
      <c r="A85" s="227"/>
      <c r="B85" s="255"/>
      <c r="C85" s="203" t="s">
        <v>202</v>
      </c>
      <c r="L85" s="303"/>
      <c r="M85" s="1160"/>
      <c r="N85" s="1167"/>
      <c r="O85" s="1167"/>
      <c r="P85" s="1167"/>
      <c r="Q85" s="1167"/>
      <c r="R85" s="1167"/>
      <c r="S85" s="1167"/>
      <c r="T85" s="1167"/>
      <c r="U85" s="1168"/>
      <c r="W85" s="204"/>
      <c r="X85" s="501"/>
    </row>
    <row r="86" spans="1:24" ht="18" customHeight="1" x14ac:dyDescent="0.25">
      <c r="A86" s="227"/>
      <c r="B86" s="255"/>
      <c r="C86" s="203" t="s">
        <v>203</v>
      </c>
      <c r="L86" s="303"/>
      <c r="N86" s="1155" t="s">
        <v>787</v>
      </c>
      <c r="O86" s="1156"/>
      <c r="P86" s="684" t="s">
        <v>74</v>
      </c>
      <c r="U86" s="227"/>
      <c r="W86" s="204"/>
      <c r="X86" s="501"/>
    </row>
    <row r="87" spans="1:24" ht="14.1" customHeight="1" x14ac:dyDescent="0.25">
      <c r="A87" s="227"/>
      <c r="B87" s="236"/>
      <c r="C87" s="237"/>
      <c r="D87" s="237"/>
      <c r="E87" s="237"/>
      <c r="F87" s="237"/>
      <c r="G87" s="237"/>
      <c r="H87" s="237"/>
      <c r="I87" s="237"/>
      <c r="J87" s="237"/>
      <c r="K87" s="237"/>
      <c r="L87" s="305"/>
      <c r="M87" s="237"/>
      <c r="N87" s="237"/>
      <c r="O87" s="237"/>
      <c r="P87" s="237"/>
      <c r="Q87" s="237"/>
      <c r="R87" s="237"/>
      <c r="S87" s="237"/>
      <c r="T87" s="237"/>
      <c r="U87" s="239"/>
      <c r="W87" s="204"/>
      <c r="X87" s="501"/>
    </row>
    <row r="88" spans="1:24" ht="24" customHeight="1" x14ac:dyDescent="0.25">
      <c r="A88" s="227"/>
      <c r="B88" s="291"/>
      <c r="C88" s="234" t="s">
        <v>68</v>
      </c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35"/>
      <c r="W88" s="204"/>
      <c r="X88" s="501"/>
    </row>
    <row r="89" spans="1:24" ht="14.1" customHeight="1" x14ac:dyDescent="0.25">
      <c r="A89" s="227"/>
      <c r="B89" s="255"/>
      <c r="L89" s="303"/>
      <c r="U89" s="227"/>
      <c r="W89" s="204"/>
      <c r="X89" s="501"/>
    </row>
    <row r="90" spans="1:24" ht="18" customHeight="1" x14ac:dyDescent="0.25">
      <c r="A90" s="227"/>
      <c r="B90" s="255"/>
      <c r="C90" s="203" t="s">
        <v>199</v>
      </c>
      <c r="L90" s="303"/>
      <c r="N90" s="1155" t="s">
        <v>787</v>
      </c>
      <c r="O90" s="1156"/>
      <c r="P90" s="684" t="s">
        <v>74</v>
      </c>
      <c r="U90" s="227"/>
      <c r="W90" s="204"/>
      <c r="X90" s="501"/>
    </row>
    <row r="91" spans="1:24" ht="14.1" customHeight="1" x14ac:dyDescent="0.25">
      <c r="A91" s="227"/>
      <c r="B91" s="236"/>
      <c r="C91" s="237"/>
      <c r="D91" s="237"/>
      <c r="E91" s="237"/>
      <c r="F91" s="237"/>
      <c r="G91" s="237"/>
      <c r="H91" s="237"/>
      <c r="I91" s="237"/>
      <c r="J91" s="237"/>
      <c r="K91" s="237"/>
      <c r="L91" s="305"/>
      <c r="M91" s="237"/>
      <c r="N91" s="237"/>
      <c r="O91" s="237"/>
      <c r="P91" s="237"/>
      <c r="Q91" s="237"/>
      <c r="R91" s="237"/>
      <c r="S91" s="237"/>
      <c r="T91" s="237"/>
      <c r="U91" s="239"/>
      <c r="W91" s="204"/>
      <c r="X91" s="501"/>
    </row>
    <row r="92" spans="1:24" ht="24" customHeight="1" x14ac:dyDescent="0.25">
      <c r="A92" s="227"/>
      <c r="B92" s="291"/>
      <c r="C92" s="234" t="s">
        <v>766</v>
      </c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35"/>
      <c r="W92" s="204"/>
      <c r="X92" s="501"/>
    </row>
    <row r="93" spans="1:24" ht="14.1" customHeight="1" x14ac:dyDescent="0.25">
      <c r="A93" s="227"/>
      <c r="B93" s="255"/>
      <c r="L93" s="303"/>
      <c r="U93" s="227"/>
      <c r="W93" s="204"/>
      <c r="X93" s="501"/>
    </row>
    <row r="94" spans="1:24" ht="18" customHeight="1" x14ac:dyDescent="0.25">
      <c r="A94" s="227"/>
      <c r="B94" s="255"/>
      <c r="C94" s="203" t="s">
        <v>767</v>
      </c>
      <c r="L94" s="303"/>
      <c r="N94" s="1155" t="s">
        <v>787</v>
      </c>
      <c r="O94" s="1156"/>
      <c r="P94" s="684" t="s">
        <v>74</v>
      </c>
      <c r="U94" s="227"/>
      <c r="W94" s="204"/>
      <c r="X94" s="501"/>
    </row>
    <row r="95" spans="1:24" ht="14.1" customHeight="1" x14ac:dyDescent="0.25">
      <c r="A95" s="227"/>
      <c r="B95" s="236"/>
      <c r="C95" s="237"/>
      <c r="D95" s="237"/>
      <c r="E95" s="237"/>
      <c r="F95" s="237"/>
      <c r="G95" s="237"/>
      <c r="H95" s="237"/>
      <c r="I95" s="237"/>
      <c r="J95" s="237"/>
      <c r="K95" s="237"/>
      <c r="L95" s="305"/>
      <c r="M95" s="237"/>
      <c r="N95" s="237"/>
      <c r="O95" s="237"/>
      <c r="P95" s="237"/>
      <c r="Q95" s="237"/>
      <c r="R95" s="237"/>
      <c r="S95" s="237"/>
      <c r="T95" s="237"/>
      <c r="U95" s="239"/>
      <c r="W95" s="204"/>
      <c r="X95" s="501"/>
    </row>
    <row r="96" spans="1:24" ht="24" customHeight="1" x14ac:dyDescent="0.25">
      <c r="A96" s="227"/>
      <c r="B96" s="291"/>
      <c r="C96" s="234" t="s">
        <v>149</v>
      </c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35"/>
      <c r="W96" s="204"/>
      <c r="X96" s="501"/>
    </row>
    <row r="97" spans="1:24" ht="14.1" customHeight="1" x14ac:dyDescent="0.25">
      <c r="A97" s="227"/>
      <c r="B97" s="255"/>
      <c r="L97" s="303"/>
      <c r="U97" s="227"/>
      <c r="W97" s="204"/>
      <c r="X97" s="501"/>
    </row>
    <row r="98" spans="1:24" ht="18" customHeight="1" x14ac:dyDescent="0.25">
      <c r="A98" s="227"/>
      <c r="B98" s="255"/>
      <c r="C98" s="203" t="s">
        <v>200</v>
      </c>
      <c r="L98" s="303"/>
      <c r="U98" s="227"/>
      <c r="W98" s="204"/>
      <c r="X98" s="501"/>
    </row>
    <row r="99" spans="1:24" ht="18" customHeight="1" x14ac:dyDescent="0.25">
      <c r="A99" s="227"/>
      <c r="B99" s="255"/>
      <c r="C99" s="203" t="s">
        <v>201</v>
      </c>
      <c r="L99" s="303"/>
      <c r="N99" s="1155" t="s">
        <v>787</v>
      </c>
      <c r="O99" s="1156"/>
      <c r="P99" s="684" t="s">
        <v>74</v>
      </c>
      <c r="U99" s="227"/>
      <c r="W99" s="204"/>
      <c r="X99" s="501"/>
    </row>
    <row r="100" spans="1:24" ht="14.1" customHeight="1" thickBot="1" x14ac:dyDescent="0.3">
      <c r="B100" s="256"/>
      <c r="C100" s="240"/>
      <c r="D100" s="240"/>
      <c r="E100" s="240"/>
      <c r="F100" s="240"/>
      <c r="G100" s="240"/>
      <c r="H100" s="240"/>
      <c r="I100" s="240"/>
      <c r="J100" s="240"/>
      <c r="K100" s="240"/>
      <c r="L100" s="323"/>
      <c r="M100" s="240"/>
      <c r="N100" s="240"/>
      <c r="O100" s="240"/>
      <c r="P100" s="240"/>
      <c r="Q100" s="240"/>
      <c r="R100" s="240"/>
      <c r="S100" s="240"/>
      <c r="T100" s="240"/>
      <c r="U100" s="241"/>
      <c r="W100" s="204"/>
      <c r="X100" s="501"/>
    </row>
    <row r="101" spans="1:24" ht="14.1" customHeight="1" x14ac:dyDescent="0.25">
      <c r="W101" s="204"/>
      <c r="X101" s="501"/>
    </row>
    <row r="102" spans="1:24" ht="24" customHeight="1" x14ac:dyDescent="0.25">
      <c r="W102" s="204"/>
      <c r="X102" s="501"/>
    </row>
    <row r="103" spans="1:24" ht="14.1" customHeight="1" x14ac:dyDescent="0.25">
      <c r="W103" s="204"/>
      <c r="X103" s="501"/>
    </row>
    <row r="104" spans="1:24" ht="5.0999999999999996" customHeight="1" x14ac:dyDescent="0.25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501"/>
    </row>
    <row r="105" spans="1:24" ht="45" customHeight="1" x14ac:dyDescent="0.25">
      <c r="A105" s="501"/>
      <c r="B105" s="501"/>
      <c r="C105" s="501"/>
      <c r="D105" s="501"/>
      <c r="E105" s="501"/>
      <c r="F105" s="1014" t="s">
        <v>713</v>
      </c>
      <c r="G105" s="1014"/>
      <c r="H105" s="1014"/>
      <c r="I105" s="1014"/>
      <c r="J105" s="1014"/>
      <c r="K105" s="1014"/>
      <c r="L105" s="1014"/>
      <c r="M105" s="1014"/>
      <c r="N105" s="1014"/>
      <c r="O105" s="1014"/>
      <c r="P105" s="1014"/>
      <c r="Q105" s="1014"/>
      <c r="R105" s="1014"/>
      <c r="S105" s="501"/>
      <c r="T105" s="501"/>
      <c r="U105" s="501"/>
      <c r="V105" s="501"/>
      <c r="W105" s="501"/>
      <c r="X105" s="501"/>
    </row>
    <row r="106" spans="1:24" s="302" customFormat="1" ht="26.25" customHeight="1" x14ac:dyDescent="0.25"/>
    <row r="108" spans="1:24" ht="18" customHeight="1" x14ac:dyDescent="0.25">
      <c r="A108" s="502"/>
    </row>
  </sheetData>
  <sheetProtection algorithmName="SHA-512" hashValue="/DTfjWZrjtpiTPZ9/HipC8r0f13W4NxZC+cVEGzb0jtsKnmVQr9S4zwsqmHgCtnQhQtniM1XQjJALBPbiE/sAA==" saltValue="bMaRNwi4ZQ9lQGe+HO6tkw==" spinCount="100000" sheet="1" objects="1" scenarios="1"/>
  <mergeCells count="22">
    <mergeCell ref="N27:O27"/>
    <mergeCell ref="N31:O31"/>
    <mergeCell ref="N35:O35"/>
    <mergeCell ref="N37:O37"/>
    <mergeCell ref="N86:O86"/>
    <mergeCell ref="N84:U85"/>
    <mergeCell ref="Y1:AA1"/>
    <mergeCell ref="F105:R105"/>
    <mergeCell ref="A1:B1"/>
    <mergeCell ref="R1:T1"/>
    <mergeCell ref="N90:O90"/>
    <mergeCell ref="N94:O94"/>
    <mergeCell ref="N19:O19"/>
    <mergeCell ref="M84:M85"/>
    <mergeCell ref="N99:O99"/>
    <mergeCell ref="N23:S23"/>
    <mergeCell ref="N43:O43"/>
    <mergeCell ref="N47:O47"/>
    <mergeCell ref="N49:O49"/>
    <mergeCell ref="N58:O58"/>
    <mergeCell ref="N53:P53"/>
    <mergeCell ref="N41:O41"/>
  </mergeCells>
  <conditionalFormatting sqref="A1:Q1">
    <cfRule type="expression" dxfId="104" priority="3">
      <formula>OR(VA_FEHLER_AB&gt;0,VA_FEHLER_C&gt;0,VA_FEHLER_D&gt;0)</formula>
    </cfRule>
  </conditionalFormatting>
  <conditionalFormatting sqref="C25:C27">
    <cfRule type="expression" dxfId="103" priority="35">
      <formula>VA_TFAUSWAHL=1</formula>
    </cfRule>
  </conditionalFormatting>
  <conditionalFormatting sqref="C29:C37 P37">
    <cfRule type="expression" dxfId="102" priority="32">
      <formula>VA_TFAUSWAHL=2</formula>
    </cfRule>
  </conditionalFormatting>
  <conditionalFormatting sqref="C39:C53 P49">
    <cfRule type="expression" dxfId="101" priority="25">
      <formula>VA_TFAUSWAHL=3</formula>
    </cfRule>
  </conditionalFormatting>
  <conditionalFormatting sqref="C54">
    <cfRule type="expression" dxfId="100" priority="4">
      <formula>VA_TFAUSWAHL=3</formula>
    </cfRule>
  </conditionalFormatting>
  <conditionalFormatting sqref="C56:C58 P58">
    <cfRule type="expression" dxfId="99" priority="17">
      <formula>VA_TFAUSWAHL=4</formula>
    </cfRule>
  </conditionalFormatting>
  <conditionalFormatting sqref="C83:C86 P86">
    <cfRule type="expression" dxfId="98" priority="11">
      <formula>VP_5_SICH_BESTAND_VORHANDEN=1</formula>
    </cfRule>
  </conditionalFormatting>
  <conditionalFormatting sqref="M84">
    <cfRule type="expression" dxfId="97" priority="8">
      <formula>VP_5_SICH_BESTAND_VORHANDEN=1</formula>
    </cfRule>
  </conditionalFormatting>
  <conditionalFormatting sqref="N84">
    <cfRule type="expression" dxfId="96" priority="9">
      <formula>VP_5_SICH_BESTAND_VORHANDEN=1</formula>
    </cfRule>
  </conditionalFormatting>
  <conditionalFormatting sqref="N27:O27">
    <cfRule type="expression" dxfId="95" priority="36">
      <formula>VA_TFAUSWAHL&lt;&gt;1</formula>
    </cfRule>
  </conditionalFormatting>
  <conditionalFormatting sqref="N35:O35 N37:O37 N31:O31">
    <cfRule type="expression" dxfId="94" priority="33">
      <formula>VA_TFAUSWAHL&lt;&gt;2</formula>
    </cfRule>
  </conditionalFormatting>
  <conditionalFormatting sqref="N35:O35 N37:O37">
    <cfRule type="expression" dxfId="93" priority="28">
      <formula>AND(VA_TFAUSWAHL=2,VP_2_RVEA&lt;&gt;"",VP_2_RVTF&lt;&gt;"")</formula>
    </cfRule>
  </conditionalFormatting>
  <conditionalFormatting sqref="N47:O47 N49:O49 N41:O41 N43:O43 N53:P53">
    <cfRule type="expression" dxfId="92" priority="27">
      <formula>VA_TFAUSWAHL&lt;&gt;3</formula>
    </cfRule>
  </conditionalFormatting>
  <conditionalFormatting sqref="N47:O47 N49:O49">
    <cfRule type="expression" dxfId="91" priority="19">
      <formula>AND(VA_TFAUSWAHL=3,VP_3_BVZUKUNFT&lt;&gt;"",VP_3_BVTF&lt;&gt;"")</formula>
    </cfRule>
  </conditionalFormatting>
  <conditionalFormatting sqref="N58:O58">
    <cfRule type="expression" dxfId="90" priority="18">
      <formula>VA_TFAUSWAHL&lt;&gt;4</formula>
    </cfRule>
  </conditionalFormatting>
  <conditionalFormatting sqref="N86:O86">
    <cfRule type="expression" dxfId="89" priority="10">
      <formula>VP_5_SICH_BESTAND_VORHANDEN=1</formula>
    </cfRule>
  </conditionalFormatting>
  <conditionalFormatting sqref="N23:S23">
    <cfRule type="expression" dxfId="88" priority="40">
      <formula>VA_TFAUSWAHL=0</formula>
    </cfRule>
  </conditionalFormatting>
  <conditionalFormatting sqref="Q19">
    <cfRule type="expression" dxfId="87" priority="39">
      <formula>AND(VP_0_EAHEUTE="",VA_TFAUSWAHL&lt;3,VA_TFAUSWAHL&gt;0)</formula>
    </cfRule>
  </conditionalFormatting>
  <conditionalFormatting sqref="Q27">
    <cfRule type="expression" dxfId="86" priority="34">
      <formula>AND(VA_TFAUSWAHL=1,VP_1_DBEA2040="")</formula>
    </cfRule>
  </conditionalFormatting>
  <conditionalFormatting sqref="Q31">
    <cfRule type="expression" dxfId="85" priority="31">
      <formula>AND(VA_TFAUSWAHL=2,$N$31="")</formula>
    </cfRule>
  </conditionalFormatting>
  <conditionalFormatting sqref="Q35 Q37">
    <cfRule type="expression" dxfId="84" priority="30">
      <formula>AND(VA_TFAUSWAHL=2,$N$35="",$N$37="")</formula>
    </cfRule>
  </conditionalFormatting>
  <conditionalFormatting sqref="Q41">
    <cfRule type="expression" dxfId="83" priority="24">
      <formula>AND(VA_TFAUSWAHL=3,$N$41="")</formula>
    </cfRule>
  </conditionalFormatting>
  <conditionalFormatting sqref="Q43">
    <cfRule type="expression" dxfId="82" priority="22">
      <formula>AND(VA_TFAUSWAHL=3,$N$43="")</formula>
    </cfRule>
  </conditionalFormatting>
  <conditionalFormatting sqref="Q47 Q49">
    <cfRule type="expression" dxfId="81" priority="21">
      <formula>AND(VA_TFAUSWAHL=3,$N$47="",$N$49="")</formula>
    </cfRule>
  </conditionalFormatting>
  <conditionalFormatting sqref="Q53">
    <cfRule type="expression" dxfId="80" priority="26">
      <formula>VA_TFAUSWAHL&lt;&gt;3</formula>
    </cfRule>
  </conditionalFormatting>
  <conditionalFormatting sqref="Q58">
    <cfRule type="expression" dxfId="79" priority="14">
      <formula>AND(VA_TFAUSWAHL=4,$N$58="")</formula>
    </cfRule>
  </conditionalFormatting>
  <conditionalFormatting sqref="R35 R37">
    <cfRule type="expression" dxfId="78" priority="29">
      <formula>AND(VA_TFAUSWAHL=2,VP_2_RVEA&lt;&gt;"",VP_2_RVTF&lt;&gt;"")</formula>
    </cfRule>
  </conditionalFormatting>
  <conditionalFormatting sqref="R47 R49">
    <cfRule type="expression" dxfId="77" priority="20">
      <formula>AND(VA_TFAUSWAHL=3,VP_3_BVZUKUNFT&lt;&gt;"",VP_3_BVTF&lt;&gt;"")</formula>
    </cfRule>
  </conditionalFormatting>
  <conditionalFormatting sqref="Y1">
    <cfRule type="expression" dxfId="76" priority="1">
      <formula>V_ARBEIT=0</formula>
    </cfRule>
  </conditionalFormatting>
  <dataValidations count="7">
    <dataValidation type="list" allowBlank="1" showInputMessage="1" showErrorMessage="1" sqref="N23:S23" xr:uid="{097E715C-6C7F-4E4B-BDB6-CE549FF0AAE3}">
      <formula1>R_TFAUSWAHL</formula1>
    </dataValidation>
    <dataValidation type="list" allowBlank="1" showInputMessage="1" showErrorMessage="1" errorTitle="Eingabefehler" error="Bitte Eintrag aus der Auswahlliste wählen." sqref="N53:P53" xr:uid="{DE0E1B55-E874-4D94-8B5B-83B7CD567F53}">
      <formula1>R_UVB</formula1>
    </dataValidation>
    <dataValidation type="list" allowBlank="1" showInputMessage="1" showErrorMessage="1" errorTitle="Eingabefehler" error="Bitte Eintrag aus der Auswahlliste wählen." sqref="N99:O99 N90:O90 N94:O94 N86:O86" xr:uid="{F9E542F9-8268-4009-8F58-450A203EA135}">
      <formula1>"nein,ja"</formula1>
    </dataValidation>
    <dataValidation type="whole" operator="greaterThanOrEqual" allowBlank="1" showErrorMessage="1" errorTitle="Eingabefehler" error="Nur ganze, positive Zahlen sowie 0 erlaubt." sqref="N47:O47 N27:O27 N35:O35" xr:uid="{DDA0801D-8BBD-4951-87E8-70DD750144B3}">
      <formula1>0</formula1>
    </dataValidation>
    <dataValidation type="whole" allowBlank="1" showErrorMessage="1" errorTitle="Eingabefehler" error="Nur Werte zwischen 2023 und 2099 erlaubt." sqref="N31:O31 N43:O43" xr:uid="{694C29C5-B669-49AB-975D-E4B58F73ADFC}">
      <formula1>2023</formula1>
      <formula2>2099</formula2>
    </dataValidation>
    <dataValidation type="decimal" operator="greaterThanOrEqual" allowBlank="1" showErrorMessage="1" errorTitle="Eingabefehler" error="Nur Werte größer als -100 erlaubt." sqref="N37:O37 N49:O49 N58:O58" xr:uid="{0EB66C52-1B9C-418D-BE7A-5FFE951D7AB7}">
      <formula1>-100</formula1>
    </dataValidation>
    <dataValidation type="whole" operator="greaterThanOrEqual" allowBlank="1" showErrorMessage="1" errorTitle="Eingabefehler" error="Nur ganze, positive Zahlen erlaubt." sqref="N19:O19 N41:O41" xr:uid="{2DD61B1A-3BBF-4CEA-AB2E-60C68B95B347}">
      <formula1>1</formula1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fitToHeight="0" orientation="portrait" errors="blank" horizontalDpi="1200" verticalDpi="1200" r:id="rId1"/>
  <headerFooter scaleWithDoc="0">
    <oddHeader>&amp;L&amp;13Trendfaktor und abschließbarer Mindestbedarf&amp;R&amp;G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BB4B2-786B-49DA-8425-5284E8EE3B5A}">
  <sheetPr codeName="Sheet4">
    <tabColor theme="6" tint="0.59999389629810485"/>
    <pageSetUpPr autoPageBreaks="0" fitToPage="1"/>
  </sheetPr>
  <dimension ref="A1:AA182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4"/>
      <c r="W5" s="204"/>
    </row>
    <row r="6" spans="1:27" ht="18" customHeight="1" x14ac:dyDescent="0.25">
      <c r="B6" s="245"/>
      <c r="C6" s="214" t="str">
        <f>TBS_2</f>
        <v>Zusammenfassung und Berechnung können nicht angezeigt werden. Bitte prüfen Sie Ihre Eingaben.</v>
      </c>
      <c r="D6" s="214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18" customHeight="1" x14ac:dyDescent="0.25">
      <c r="B7" s="245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24" customHeight="1" x14ac:dyDescent="0.25">
      <c r="B8" s="245"/>
      <c r="C8" s="1193" t="str">
        <f>IF(
VA_ZUSAMMEN=1,"Zusammenfassung beider Bahnhofsseiten",IF(
AND(VA_BESTANDSEINGABE=1,VA_VERKEHRSSTATION=""),"Bahnhofsname nicht eingegeben",IF(
AND(VA_BESTANDSEINGABE=1,VA_VERKEHRSSTATION&lt;&gt;""),VA_VERKEHRSSTATION,IF(
VA_ZUGANG_1="","Bezeichnung der Bahnhofsseite fehlt",
VA_ZUGANG_1))))</f>
        <v>Bezeichnung der Bahnhofsseite fehlt</v>
      </c>
      <c r="D8" s="1193"/>
      <c r="E8" s="1193"/>
      <c r="F8" s="1193"/>
      <c r="G8" s="1193"/>
      <c r="H8" s="1193"/>
      <c r="I8" s="1193"/>
      <c r="J8" s="1193"/>
      <c r="K8" s="202"/>
      <c r="L8" s="202"/>
      <c r="M8" s="1193" t="str">
        <f>IF(VA_ZUGANG_2="","Bezeichnung der Bahnhofsseite fehlt",VA_ZUGANG_2)</f>
        <v>Bezeichnung der Bahnhofsseite fehlt</v>
      </c>
      <c r="N8" s="1193"/>
      <c r="O8" s="1193"/>
      <c r="P8" s="1193"/>
      <c r="Q8" s="1193"/>
      <c r="R8" s="1193"/>
      <c r="S8" s="1193"/>
      <c r="T8" s="1193"/>
      <c r="U8" s="246"/>
      <c r="W8" s="204"/>
    </row>
    <row r="9" spans="1:27" ht="18" customHeight="1" thickBot="1" x14ac:dyDescent="0.3">
      <c r="B9" s="245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</row>
    <row r="10" spans="1:27" ht="24" customHeight="1" thickBot="1" x14ac:dyDescent="0.3">
      <c r="B10" s="245"/>
      <c r="C10" s="1265" t="s">
        <v>13</v>
      </c>
      <c r="D10" s="1266"/>
      <c r="E10" s="674" t="s">
        <v>249</v>
      </c>
      <c r="F10" s="325"/>
      <c r="G10" s="325"/>
      <c r="H10" s="326" t="s">
        <v>20</v>
      </c>
      <c r="I10" s="327" t="s">
        <v>99</v>
      </c>
      <c r="J10" s="328" t="s">
        <v>38</v>
      </c>
      <c r="K10" s="329"/>
      <c r="L10" s="202"/>
      <c r="M10" s="1265" t="s">
        <v>13</v>
      </c>
      <c r="N10" s="1266"/>
      <c r="O10" s="674" t="s">
        <v>249</v>
      </c>
      <c r="P10" s="325"/>
      <c r="Q10" s="325"/>
      <c r="R10" s="326" t="s">
        <v>20</v>
      </c>
      <c r="S10" s="327" t="s">
        <v>99</v>
      </c>
      <c r="T10" s="328" t="s">
        <v>38</v>
      </c>
      <c r="U10" s="246"/>
      <c r="W10" s="204"/>
    </row>
    <row r="11" spans="1:27" ht="18" customHeight="1" x14ac:dyDescent="0.25">
      <c r="B11" s="245"/>
      <c r="C11" s="1182" t="s">
        <v>41</v>
      </c>
      <c r="D11" s="1183"/>
      <c r="E11" s="1188" t="s">
        <v>768</v>
      </c>
      <c r="F11" s="1188"/>
      <c r="G11" s="1189"/>
      <c r="H11" s="330">
        <f>intern!G43</f>
        <v>0</v>
      </c>
      <c r="I11" s="331">
        <f>intern!H43</f>
        <v>0</v>
      </c>
      <c r="J11" s="332" t="str">
        <f>IFERROR(I11/H11,"")</f>
        <v/>
      </c>
      <c r="K11" s="329"/>
      <c r="L11" s="202"/>
      <c r="M11" s="1182" t="s">
        <v>41</v>
      </c>
      <c r="N11" s="1183"/>
      <c r="O11" s="1188" t="s">
        <v>768</v>
      </c>
      <c r="P11" s="1188"/>
      <c r="Q11" s="1189"/>
      <c r="R11" s="330">
        <f>intern!Q43</f>
        <v>0</v>
      </c>
      <c r="S11" s="331">
        <f>intern!R43</f>
        <v>0</v>
      </c>
      <c r="T11" s="332" t="str">
        <f>IFERROR(S11/R11,"")</f>
        <v/>
      </c>
      <c r="U11" s="246"/>
      <c r="W11" s="204"/>
    </row>
    <row r="12" spans="1:27" ht="18" customHeight="1" x14ac:dyDescent="0.25">
      <c r="B12" s="245"/>
      <c r="C12" s="1184"/>
      <c r="D12" s="1120"/>
      <c r="E12" s="1180" t="s">
        <v>769</v>
      </c>
      <c r="F12" s="1180"/>
      <c r="G12" s="1181"/>
      <c r="H12" s="333">
        <f>intern!D43</f>
        <v>0</v>
      </c>
      <c r="I12" s="334">
        <f>intern!E43</f>
        <v>0</v>
      </c>
      <c r="J12" s="335" t="str">
        <f t="shared" ref="J12:J13" si="0">IFERROR(I12/H12,"")</f>
        <v/>
      </c>
      <c r="K12" s="329"/>
      <c r="L12" s="202"/>
      <c r="M12" s="1184"/>
      <c r="N12" s="1120"/>
      <c r="O12" s="1180" t="s">
        <v>769</v>
      </c>
      <c r="P12" s="1180"/>
      <c r="Q12" s="1181"/>
      <c r="R12" s="333">
        <f>intern!N43</f>
        <v>0</v>
      </c>
      <c r="S12" s="334">
        <f>intern!O43</f>
        <v>0</v>
      </c>
      <c r="T12" s="335" t="str">
        <f t="shared" ref="T12:T13" si="1">IFERROR(S12/R12,"")</f>
        <v/>
      </c>
      <c r="U12" s="246"/>
      <c r="W12" s="204"/>
      <c r="X12" s="501"/>
    </row>
    <row r="13" spans="1:27" ht="18" customHeight="1" x14ac:dyDescent="0.25">
      <c r="B13" s="245"/>
      <c r="C13" s="1184"/>
      <c r="D13" s="1120"/>
      <c r="E13" s="1180" t="s">
        <v>2</v>
      </c>
      <c r="F13" s="1180"/>
      <c r="G13" s="1181"/>
      <c r="H13" s="336">
        <f>intern!J43</f>
        <v>0</v>
      </c>
      <c r="I13" s="337">
        <f>intern!K43</f>
        <v>0</v>
      </c>
      <c r="J13" s="338" t="str">
        <f t="shared" si="0"/>
        <v/>
      </c>
      <c r="K13" s="329"/>
      <c r="L13" s="202"/>
      <c r="M13" s="1184"/>
      <c r="N13" s="1120"/>
      <c r="O13" s="1180" t="s">
        <v>2</v>
      </c>
      <c r="P13" s="1180"/>
      <c r="Q13" s="1181"/>
      <c r="R13" s="336">
        <f>intern!T43</f>
        <v>0</v>
      </c>
      <c r="S13" s="337">
        <f>intern!U43</f>
        <v>0</v>
      </c>
      <c r="T13" s="338" t="str">
        <f t="shared" si="1"/>
        <v/>
      </c>
      <c r="U13" s="246"/>
      <c r="W13" s="204"/>
      <c r="X13" s="501"/>
    </row>
    <row r="14" spans="1:27" ht="18" customHeight="1" x14ac:dyDescent="0.25">
      <c r="B14" s="245"/>
      <c r="C14" s="1184"/>
      <c r="D14" s="1120"/>
      <c r="E14" s="1180" t="s">
        <v>0</v>
      </c>
      <c r="F14" s="1180"/>
      <c r="G14" s="1181"/>
      <c r="H14" s="339" t="s">
        <v>105</v>
      </c>
      <c r="I14" s="337">
        <f>intern!M43</f>
        <v>0</v>
      </c>
      <c r="J14" s="340" t="s">
        <v>105</v>
      </c>
      <c r="K14" s="329"/>
      <c r="L14" s="202"/>
      <c r="M14" s="1184"/>
      <c r="N14" s="1120"/>
      <c r="O14" s="1180" t="s">
        <v>0</v>
      </c>
      <c r="P14" s="1180"/>
      <c r="Q14" s="1181"/>
      <c r="R14" s="339" t="s">
        <v>105</v>
      </c>
      <c r="S14" s="337">
        <f>intern!W43</f>
        <v>0</v>
      </c>
      <c r="T14" s="340" t="s">
        <v>105</v>
      </c>
      <c r="U14" s="246"/>
      <c r="W14" s="204"/>
      <c r="X14" s="501"/>
    </row>
    <row r="15" spans="1:27" ht="18" customHeight="1" thickBot="1" x14ac:dyDescent="0.3">
      <c r="B15" s="245"/>
      <c r="C15" s="1185"/>
      <c r="D15" s="1186"/>
      <c r="E15" s="1196" t="s">
        <v>104</v>
      </c>
      <c r="F15" s="1196"/>
      <c r="G15" s="1196"/>
      <c r="H15" s="341">
        <f>SUM(H11:H14)</f>
        <v>0</v>
      </c>
      <c r="I15" s="342">
        <f>SUM(I11:I14)</f>
        <v>0</v>
      </c>
      <c r="J15" s="343" t="str">
        <f>IFERROR(I15/H15,"")</f>
        <v/>
      </c>
      <c r="K15" s="329"/>
      <c r="L15" s="202"/>
      <c r="M15" s="1185"/>
      <c r="N15" s="1186"/>
      <c r="O15" s="1196" t="s">
        <v>104</v>
      </c>
      <c r="P15" s="1196"/>
      <c r="Q15" s="1196"/>
      <c r="R15" s="341">
        <f>SUM(R11:R14)</f>
        <v>0</v>
      </c>
      <c r="S15" s="342">
        <f>SUM(S11:S14)</f>
        <v>0</v>
      </c>
      <c r="T15" s="343" t="str">
        <f>IFERROR(S15/R15,"")</f>
        <v/>
      </c>
      <c r="U15" s="246"/>
      <c r="W15" s="204"/>
      <c r="X15" s="501"/>
    </row>
    <row r="16" spans="1:27" ht="18" customHeight="1" x14ac:dyDescent="0.25">
      <c r="B16" s="245"/>
      <c r="C16" s="1182" t="s">
        <v>102</v>
      </c>
      <c r="D16" s="1183"/>
      <c r="E16" s="1188" t="s">
        <v>768</v>
      </c>
      <c r="F16" s="1188"/>
      <c r="G16" s="1189"/>
      <c r="H16" s="344">
        <f>intern!G44</f>
        <v>0</v>
      </c>
      <c r="I16" s="345">
        <f>intern!H44</f>
        <v>0</v>
      </c>
      <c r="J16" s="346" t="str">
        <f>IFERROR(I16/H16,"")</f>
        <v/>
      </c>
      <c r="K16" s="329"/>
      <c r="L16" s="202"/>
      <c r="M16" s="1182" t="s">
        <v>102</v>
      </c>
      <c r="N16" s="1183"/>
      <c r="O16" s="1188" t="s">
        <v>768</v>
      </c>
      <c r="P16" s="1188"/>
      <c r="Q16" s="1189"/>
      <c r="R16" s="344">
        <f>intern!Q44</f>
        <v>0</v>
      </c>
      <c r="S16" s="345">
        <f>intern!R44</f>
        <v>0</v>
      </c>
      <c r="T16" s="346" t="str">
        <f>IFERROR(S16/R16,"")</f>
        <v/>
      </c>
      <c r="U16" s="246"/>
      <c r="W16" s="204"/>
      <c r="X16" s="501"/>
    </row>
    <row r="17" spans="2:24" ht="18" customHeight="1" x14ac:dyDescent="0.25">
      <c r="B17" s="245"/>
      <c r="C17" s="1184"/>
      <c r="D17" s="1120"/>
      <c r="E17" s="1180" t="s">
        <v>769</v>
      </c>
      <c r="F17" s="1180"/>
      <c r="G17" s="1181"/>
      <c r="H17" s="333">
        <f>intern!D44</f>
        <v>0</v>
      </c>
      <c r="I17" s="337">
        <f>intern!E44</f>
        <v>0</v>
      </c>
      <c r="J17" s="347" t="str">
        <f t="shared" ref="J17:J18" si="2">IFERROR(I17/H17,"")</f>
        <v/>
      </c>
      <c r="K17" s="329"/>
      <c r="L17" s="202"/>
      <c r="M17" s="1184"/>
      <c r="N17" s="1120"/>
      <c r="O17" s="1180" t="s">
        <v>769</v>
      </c>
      <c r="P17" s="1180"/>
      <c r="Q17" s="1181"/>
      <c r="R17" s="333">
        <f>intern!N44</f>
        <v>0</v>
      </c>
      <c r="S17" s="337">
        <f>intern!O44</f>
        <v>0</v>
      </c>
      <c r="T17" s="347" t="str">
        <f t="shared" ref="T17:T18" si="3">IFERROR(S17/R17,"")</f>
        <v/>
      </c>
      <c r="U17" s="246"/>
      <c r="W17" s="204"/>
      <c r="X17" s="501"/>
    </row>
    <row r="18" spans="2:24" ht="18" customHeight="1" x14ac:dyDescent="0.25">
      <c r="B18" s="245"/>
      <c r="C18" s="1184"/>
      <c r="D18" s="1120"/>
      <c r="E18" s="1180" t="s">
        <v>2</v>
      </c>
      <c r="F18" s="1180"/>
      <c r="G18" s="1181"/>
      <c r="H18" s="336">
        <f>intern!J44</f>
        <v>0</v>
      </c>
      <c r="I18" s="337">
        <f>intern!K44</f>
        <v>0</v>
      </c>
      <c r="J18" s="338" t="str">
        <f t="shared" si="2"/>
        <v/>
      </c>
      <c r="K18" s="329"/>
      <c r="L18" s="202"/>
      <c r="M18" s="1184"/>
      <c r="N18" s="1120"/>
      <c r="O18" s="1180" t="s">
        <v>2</v>
      </c>
      <c r="P18" s="1180"/>
      <c r="Q18" s="1181"/>
      <c r="R18" s="336">
        <f>intern!T44</f>
        <v>0</v>
      </c>
      <c r="S18" s="337">
        <f>intern!U44</f>
        <v>0</v>
      </c>
      <c r="T18" s="338" t="str">
        <f t="shared" si="3"/>
        <v/>
      </c>
      <c r="U18" s="246"/>
      <c r="W18" s="204"/>
      <c r="X18" s="501"/>
    </row>
    <row r="19" spans="2:24" ht="18" customHeight="1" x14ac:dyDescent="0.25">
      <c r="B19" s="245"/>
      <c r="C19" s="1184"/>
      <c r="D19" s="1120"/>
      <c r="E19" s="1180" t="s">
        <v>0</v>
      </c>
      <c r="F19" s="1180"/>
      <c r="G19" s="1181"/>
      <c r="H19" s="339" t="s">
        <v>105</v>
      </c>
      <c r="I19" s="337">
        <f>intern!M44</f>
        <v>0</v>
      </c>
      <c r="J19" s="340" t="s">
        <v>105</v>
      </c>
      <c r="K19" s="329"/>
      <c r="L19" s="202"/>
      <c r="M19" s="1184"/>
      <c r="N19" s="1120"/>
      <c r="O19" s="1180" t="s">
        <v>0</v>
      </c>
      <c r="P19" s="1180"/>
      <c r="Q19" s="1181"/>
      <c r="R19" s="339" t="s">
        <v>105</v>
      </c>
      <c r="S19" s="337">
        <f>intern!W44</f>
        <v>0</v>
      </c>
      <c r="T19" s="340" t="s">
        <v>105</v>
      </c>
      <c r="U19" s="246"/>
      <c r="W19" s="204"/>
      <c r="X19" s="501"/>
    </row>
    <row r="20" spans="2:24" ht="18" customHeight="1" thickBot="1" x14ac:dyDescent="0.3">
      <c r="B20" s="245"/>
      <c r="C20" s="1185"/>
      <c r="D20" s="1186"/>
      <c r="E20" s="1196" t="s">
        <v>104</v>
      </c>
      <c r="F20" s="1196"/>
      <c r="G20" s="1196"/>
      <c r="H20" s="348">
        <f>SUM(H16:H19)</f>
        <v>0</v>
      </c>
      <c r="I20" s="349">
        <f>SUM(I16:I19)</f>
        <v>0</v>
      </c>
      <c r="J20" s="343" t="str">
        <f>IFERROR(I20/H20,"")</f>
        <v/>
      </c>
      <c r="K20" s="329"/>
      <c r="L20" s="202"/>
      <c r="M20" s="1185"/>
      <c r="N20" s="1186"/>
      <c r="O20" s="1196" t="s">
        <v>104</v>
      </c>
      <c r="P20" s="1196"/>
      <c r="Q20" s="1196"/>
      <c r="R20" s="348">
        <f>SUM(R16:R19)</f>
        <v>0</v>
      </c>
      <c r="S20" s="349">
        <f>SUM(S16:S19)</f>
        <v>0</v>
      </c>
      <c r="T20" s="343" t="str">
        <f>IFERROR(S20/R20,"")</f>
        <v/>
      </c>
      <c r="U20" s="246"/>
      <c r="W20" s="204"/>
      <c r="X20" s="501"/>
    </row>
    <row r="21" spans="2:24" ht="18" customHeight="1" x14ac:dyDescent="0.25">
      <c r="B21" s="245"/>
      <c r="C21" s="1182" t="s">
        <v>103</v>
      </c>
      <c r="D21" s="1183"/>
      <c r="E21" s="1188" t="s">
        <v>768</v>
      </c>
      <c r="F21" s="1188"/>
      <c r="G21" s="1189"/>
      <c r="H21" s="344">
        <f>intern!G45</f>
        <v>0</v>
      </c>
      <c r="I21" s="345">
        <f>intern!H45</f>
        <v>0</v>
      </c>
      <c r="J21" s="332" t="str">
        <f>IFERROR(I21/H21,"")</f>
        <v/>
      </c>
      <c r="K21" s="329"/>
      <c r="L21" s="202"/>
      <c r="M21" s="1182" t="s">
        <v>103</v>
      </c>
      <c r="N21" s="1183"/>
      <c r="O21" s="1188" t="s">
        <v>768</v>
      </c>
      <c r="P21" s="1188"/>
      <c r="Q21" s="1189"/>
      <c r="R21" s="344">
        <f>intern!Q45</f>
        <v>0</v>
      </c>
      <c r="S21" s="345">
        <f>intern!R45</f>
        <v>0</v>
      </c>
      <c r="T21" s="332" t="str">
        <f>IFERROR(S21/R21,"")</f>
        <v/>
      </c>
      <c r="U21" s="246"/>
      <c r="W21" s="204"/>
      <c r="X21" s="501"/>
    </row>
    <row r="22" spans="2:24" ht="18" customHeight="1" x14ac:dyDescent="0.25">
      <c r="B22" s="245"/>
      <c r="C22" s="1184"/>
      <c r="D22" s="1120"/>
      <c r="E22" s="1180" t="s">
        <v>2</v>
      </c>
      <c r="F22" s="1180"/>
      <c r="G22" s="1181"/>
      <c r="H22" s="336">
        <f>intern!J45</f>
        <v>0</v>
      </c>
      <c r="I22" s="337">
        <f>intern!K45</f>
        <v>0</v>
      </c>
      <c r="J22" s="347" t="str">
        <f t="shared" ref="J22" si="4">IFERROR(I22/H22,"")</f>
        <v/>
      </c>
      <c r="K22" s="329"/>
      <c r="L22" s="202"/>
      <c r="M22" s="1184"/>
      <c r="N22" s="1120"/>
      <c r="O22" s="1180" t="s">
        <v>2</v>
      </c>
      <c r="P22" s="1180"/>
      <c r="Q22" s="1181"/>
      <c r="R22" s="336">
        <f>intern!T45</f>
        <v>0</v>
      </c>
      <c r="S22" s="337">
        <f>intern!U45</f>
        <v>0</v>
      </c>
      <c r="T22" s="347" t="str">
        <f t="shared" ref="T22" si="5">IFERROR(S22/R22,"")</f>
        <v/>
      </c>
      <c r="U22" s="246"/>
      <c r="W22" s="204"/>
      <c r="X22" s="501"/>
    </row>
    <row r="23" spans="2:24" ht="18" customHeight="1" x14ac:dyDescent="0.25">
      <c r="B23" s="245"/>
      <c r="C23" s="1184"/>
      <c r="D23" s="1120"/>
      <c r="E23" s="1180" t="s">
        <v>0</v>
      </c>
      <c r="F23" s="1180"/>
      <c r="G23" s="1181"/>
      <c r="H23" s="339" t="s">
        <v>105</v>
      </c>
      <c r="I23" s="337">
        <f>intern!M45</f>
        <v>0</v>
      </c>
      <c r="J23" s="350" t="s">
        <v>105</v>
      </c>
      <c r="K23" s="329"/>
      <c r="L23" s="202"/>
      <c r="M23" s="1184"/>
      <c r="N23" s="1120"/>
      <c r="O23" s="1180" t="s">
        <v>0</v>
      </c>
      <c r="P23" s="1180"/>
      <c r="Q23" s="1181"/>
      <c r="R23" s="339" t="s">
        <v>105</v>
      </c>
      <c r="S23" s="337">
        <f>intern!W45</f>
        <v>0</v>
      </c>
      <c r="T23" s="350" t="s">
        <v>105</v>
      </c>
      <c r="U23" s="246"/>
      <c r="W23" s="204"/>
      <c r="X23" s="501"/>
    </row>
    <row r="24" spans="2:24" ht="18" customHeight="1" thickBot="1" x14ac:dyDescent="0.3">
      <c r="B24" s="245"/>
      <c r="C24" s="1185"/>
      <c r="D24" s="1186"/>
      <c r="E24" s="1196" t="s">
        <v>104</v>
      </c>
      <c r="F24" s="1196"/>
      <c r="G24" s="1196"/>
      <c r="H24" s="348">
        <f>SUM(H21:H23)</f>
        <v>0</v>
      </c>
      <c r="I24" s="349">
        <f>SUM(I21:I23)</f>
        <v>0</v>
      </c>
      <c r="J24" s="343" t="str">
        <f>IFERROR(I24/H24,"")</f>
        <v/>
      </c>
      <c r="K24" s="329"/>
      <c r="L24" s="202"/>
      <c r="M24" s="1185"/>
      <c r="N24" s="1186"/>
      <c r="O24" s="1196" t="s">
        <v>104</v>
      </c>
      <c r="P24" s="1196"/>
      <c r="Q24" s="1196"/>
      <c r="R24" s="348">
        <f>SUM(R21:R23)</f>
        <v>0</v>
      </c>
      <c r="S24" s="349">
        <f>SUM(S21:S23)</f>
        <v>0</v>
      </c>
      <c r="T24" s="343" t="str">
        <f>IFERROR(S24/R24,"")</f>
        <v/>
      </c>
      <c r="U24" s="246"/>
      <c r="W24" s="204"/>
      <c r="X24" s="501"/>
    </row>
    <row r="25" spans="2:24" ht="18" customHeight="1" x14ac:dyDescent="0.25">
      <c r="B25" s="245"/>
      <c r="C25" s="1182" t="s">
        <v>44</v>
      </c>
      <c r="D25" s="1183"/>
      <c r="E25" s="1188" t="s">
        <v>2</v>
      </c>
      <c r="F25" s="1188"/>
      <c r="G25" s="1189"/>
      <c r="H25" s="344">
        <f>intern!J46</f>
        <v>0</v>
      </c>
      <c r="I25" s="345">
        <f>intern!K46</f>
        <v>0</v>
      </c>
      <c r="J25" s="346" t="str">
        <f>IFERROR(I25/H25,"")</f>
        <v/>
      </c>
      <c r="K25" s="329"/>
      <c r="L25" s="202"/>
      <c r="M25" s="1182" t="s">
        <v>44</v>
      </c>
      <c r="N25" s="1183"/>
      <c r="O25" s="1188" t="s">
        <v>2</v>
      </c>
      <c r="P25" s="1188"/>
      <c r="Q25" s="1189"/>
      <c r="R25" s="344">
        <f>intern!T46</f>
        <v>0</v>
      </c>
      <c r="S25" s="345">
        <f>intern!U46</f>
        <v>0</v>
      </c>
      <c r="T25" s="346" t="str">
        <f>IFERROR(S25/R25,"")</f>
        <v/>
      </c>
      <c r="U25" s="246"/>
      <c r="W25" s="204"/>
      <c r="X25" s="501"/>
    </row>
    <row r="26" spans="2:24" ht="18" customHeight="1" x14ac:dyDescent="0.25">
      <c r="B26" s="245"/>
      <c r="C26" s="1184"/>
      <c r="D26" s="1120"/>
      <c r="E26" s="1180" t="s">
        <v>0</v>
      </c>
      <c r="F26" s="1180"/>
      <c r="G26" s="1181"/>
      <c r="H26" s="339" t="s">
        <v>105</v>
      </c>
      <c r="I26" s="337">
        <f>intern!M46</f>
        <v>0</v>
      </c>
      <c r="J26" s="350" t="s">
        <v>105</v>
      </c>
      <c r="K26" s="329"/>
      <c r="L26" s="202"/>
      <c r="M26" s="1184"/>
      <c r="N26" s="1120"/>
      <c r="O26" s="1180" t="s">
        <v>0</v>
      </c>
      <c r="P26" s="1180"/>
      <c r="Q26" s="1181"/>
      <c r="R26" s="339" t="s">
        <v>105</v>
      </c>
      <c r="S26" s="337">
        <f>intern!W46</f>
        <v>0</v>
      </c>
      <c r="T26" s="350" t="s">
        <v>105</v>
      </c>
      <c r="U26" s="246"/>
      <c r="W26" s="204"/>
      <c r="X26" s="501"/>
    </row>
    <row r="27" spans="2:24" ht="18" customHeight="1" thickBot="1" x14ac:dyDescent="0.3">
      <c r="B27" s="245"/>
      <c r="C27" s="1185"/>
      <c r="D27" s="1186"/>
      <c r="E27" s="1196" t="s">
        <v>104</v>
      </c>
      <c r="F27" s="1196"/>
      <c r="G27" s="1196"/>
      <c r="H27" s="341">
        <f>SUM(H25:H26)</f>
        <v>0</v>
      </c>
      <c r="I27" s="342">
        <f>SUM(I25:I26)</f>
        <v>0</v>
      </c>
      <c r="J27" s="343" t="str">
        <f>IFERROR(I27/H27,"")</f>
        <v/>
      </c>
      <c r="K27" s="329"/>
      <c r="L27" s="202"/>
      <c r="M27" s="1185"/>
      <c r="N27" s="1186"/>
      <c r="O27" s="1196" t="s">
        <v>104</v>
      </c>
      <c r="P27" s="1196"/>
      <c r="Q27" s="1196"/>
      <c r="R27" s="341">
        <f>SUM(R25:R26)</f>
        <v>0</v>
      </c>
      <c r="S27" s="342">
        <f>SUM(S25:S26)</f>
        <v>0</v>
      </c>
      <c r="T27" s="343" t="str">
        <f>IFERROR(S27/R27,"")</f>
        <v/>
      </c>
      <c r="U27" s="246"/>
      <c r="W27" s="204"/>
      <c r="X27" s="501"/>
    </row>
    <row r="28" spans="2:24" ht="18" customHeight="1" x14ac:dyDescent="0.25">
      <c r="B28" s="245"/>
      <c r="C28" s="1190" t="s">
        <v>104</v>
      </c>
      <c r="D28" s="1191"/>
      <c r="E28" s="1188" t="s">
        <v>768</v>
      </c>
      <c r="F28" s="1188"/>
      <c r="G28" s="1189"/>
      <c r="H28" s="330">
        <f>H11+H16+H21</f>
        <v>0</v>
      </c>
      <c r="I28" s="351">
        <f>I11+I16+I21</f>
        <v>0</v>
      </c>
      <c r="J28" s="332" t="str">
        <f>IFERROR(I28/H28,"")</f>
        <v/>
      </c>
      <c r="K28" s="329"/>
      <c r="L28" s="202"/>
      <c r="M28" s="1190" t="s">
        <v>104</v>
      </c>
      <c r="N28" s="1191"/>
      <c r="O28" s="1188" t="s">
        <v>768</v>
      </c>
      <c r="P28" s="1188"/>
      <c r="Q28" s="1189"/>
      <c r="R28" s="330">
        <f>R11+R16+R21</f>
        <v>0</v>
      </c>
      <c r="S28" s="351">
        <f>S11+S16+S21</f>
        <v>0</v>
      </c>
      <c r="T28" s="332" t="str">
        <f>IFERROR(S28/R28,"")</f>
        <v/>
      </c>
      <c r="U28" s="246"/>
      <c r="W28" s="204"/>
      <c r="X28" s="501"/>
    </row>
    <row r="29" spans="2:24" ht="18" customHeight="1" x14ac:dyDescent="0.25">
      <c r="B29" s="245"/>
      <c r="C29" s="1192"/>
      <c r="D29" s="1193"/>
      <c r="E29" s="1180" t="s">
        <v>769</v>
      </c>
      <c r="F29" s="1180"/>
      <c r="G29" s="1181"/>
      <c r="H29" s="336">
        <f>H12+H17</f>
        <v>0</v>
      </c>
      <c r="I29" s="352">
        <f>I12+I17</f>
        <v>0</v>
      </c>
      <c r="J29" s="338" t="str">
        <f t="shared" ref="J29:J30" si="6">IFERROR(I29/H29,"")</f>
        <v/>
      </c>
      <c r="K29" s="329"/>
      <c r="L29" s="202"/>
      <c r="M29" s="1192"/>
      <c r="N29" s="1193"/>
      <c r="O29" s="1180" t="s">
        <v>769</v>
      </c>
      <c r="P29" s="1180"/>
      <c r="Q29" s="1181"/>
      <c r="R29" s="336">
        <f>R12+R17</f>
        <v>0</v>
      </c>
      <c r="S29" s="352">
        <f>S12+S17</f>
        <v>0</v>
      </c>
      <c r="T29" s="338" t="str">
        <f t="shared" ref="T29:T30" si="7">IFERROR(S29/R29,"")</f>
        <v/>
      </c>
      <c r="U29" s="246"/>
      <c r="W29" s="204"/>
      <c r="X29" s="501"/>
    </row>
    <row r="30" spans="2:24" ht="18" customHeight="1" x14ac:dyDescent="0.25">
      <c r="B30" s="245"/>
      <c r="C30" s="1192"/>
      <c r="D30" s="1193"/>
      <c r="E30" s="1180" t="s">
        <v>2</v>
      </c>
      <c r="F30" s="1180"/>
      <c r="G30" s="1181"/>
      <c r="H30" s="336">
        <f>H13+H18+H22+H25</f>
        <v>0</v>
      </c>
      <c r="I30" s="352">
        <f>I13+I18+I22+I25</f>
        <v>0</v>
      </c>
      <c r="J30" s="335" t="str">
        <f t="shared" si="6"/>
        <v/>
      </c>
      <c r="K30" s="329"/>
      <c r="L30" s="202"/>
      <c r="M30" s="1192"/>
      <c r="N30" s="1193"/>
      <c r="O30" s="1180" t="s">
        <v>2</v>
      </c>
      <c r="P30" s="1180"/>
      <c r="Q30" s="1181"/>
      <c r="R30" s="336">
        <f>R13+R18+R22+R25</f>
        <v>0</v>
      </c>
      <c r="S30" s="352">
        <f>S13+S18+S22+S25</f>
        <v>0</v>
      </c>
      <c r="T30" s="335" t="str">
        <f t="shared" si="7"/>
        <v/>
      </c>
      <c r="U30" s="246"/>
      <c r="W30" s="204"/>
      <c r="X30" s="501"/>
    </row>
    <row r="31" spans="2:24" ht="18" customHeight="1" thickBot="1" x14ac:dyDescent="0.3">
      <c r="B31" s="245"/>
      <c r="C31" s="1192"/>
      <c r="D31" s="1193"/>
      <c r="E31" s="1260" t="s">
        <v>0</v>
      </c>
      <c r="F31" s="1260"/>
      <c r="G31" s="1260"/>
      <c r="H31" s="353" t="s">
        <v>105</v>
      </c>
      <c r="I31" s="354">
        <f>I14+I19+I23+I26</f>
        <v>0</v>
      </c>
      <c r="J31" s="355" t="s">
        <v>105</v>
      </c>
      <c r="K31" s="329"/>
      <c r="L31" s="202"/>
      <c r="M31" s="1192"/>
      <c r="N31" s="1193"/>
      <c r="O31" s="1260" t="s">
        <v>0</v>
      </c>
      <c r="P31" s="1260"/>
      <c r="Q31" s="1260"/>
      <c r="R31" s="353" t="s">
        <v>105</v>
      </c>
      <c r="S31" s="354">
        <f>S14+S19+S23+S26</f>
        <v>0</v>
      </c>
      <c r="T31" s="355" t="s">
        <v>105</v>
      </c>
      <c r="U31" s="246"/>
      <c r="W31" s="204"/>
      <c r="X31" s="501"/>
    </row>
    <row r="32" spans="2:24" ht="24" customHeight="1" thickBot="1" x14ac:dyDescent="0.3">
      <c r="B32" s="245"/>
      <c r="C32" s="1194"/>
      <c r="D32" s="1195"/>
      <c r="E32" s="1196"/>
      <c r="F32" s="1196"/>
      <c r="G32" s="1261"/>
      <c r="H32" s="356">
        <f>SUM(H28:H31)</f>
        <v>0</v>
      </c>
      <c r="I32" s="357">
        <f>SUM(I28:I31)</f>
        <v>0</v>
      </c>
      <c r="J32" s="358" t="str">
        <f>IFERROR(I32/H32,"")</f>
        <v/>
      </c>
      <c r="K32" s="329"/>
      <c r="L32" s="202"/>
      <c r="M32" s="1194"/>
      <c r="N32" s="1195"/>
      <c r="O32" s="1196"/>
      <c r="P32" s="1196"/>
      <c r="Q32" s="1261"/>
      <c r="R32" s="356">
        <f>SUM(R28:R31)</f>
        <v>0</v>
      </c>
      <c r="S32" s="357">
        <f>SUM(S28:S31)</f>
        <v>0</v>
      </c>
      <c r="T32" s="358" t="str">
        <f>IFERROR(S32/R32,"")</f>
        <v/>
      </c>
      <c r="U32" s="246"/>
      <c r="W32" s="204"/>
      <c r="X32" s="501"/>
    </row>
    <row r="33" spans="1:24" ht="18" customHeight="1" thickBot="1" x14ac:dyDescent="0.3">
      <c r="B33" s="247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9"/>
      <c r="W33" s="204"/>
      <c r="X33" s="501"/>
    </row>
    <row r="34" spans="1:24" ht="18" customHeight="1" thickBot="1" x14ac:dyDescent="0.3">
      <c r="B34" s="359"/>
      <c r="C34" s="359"/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59"/>
      <c r="T34" s="359"/>
      <c r="U34" s="359"/>
      <c r="W34" s="204"/>
      <c r="X34" s="501"/>
    </row>
    <row r="35" spans="1:24" ht="32.1" customHeight="1" x14ac:dyDescent="0.25">
      <c r="A35" s="227"/>
      <c r="B35" s="257"/>
      <c r="C35" s="258" t="str">
        <f>IF(VA_VERKEHRSSTATION="","Bedarfsermittlung optimaler Stellplätze","Bedarfsermittlung optimaler Stellplätze für "&amp;VA_VERKEHRSSTATION)</f>
        <v>Bedarfsermittlung optimaler Stellplätze</v>
      </c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60"/>
      <c r="W35" s="204"/>
      <c r="X35" s="501"/>
    </row>
    <row r="36" spans="1:24" ht="14.1" customHeight="1" x14ac:dyDescent="0.25">
      <c r="A36" s="227"/>
      <c r="B36" s="255"/>
      <c r="U36" s="227"/>
      <c r="W36" s="204"/>
      <c r="X36" s="501"/>
    </row>
    <row r="37" spans="1:24" ht="24" customHeight="1" x14ac:dyDescent="0.25">
      <c r="A37" s="227"/>
      <c r="B37" s="255"/>
      <c r="C37" s="1264" t="str">
        <f>IF(VA_BESTANDSEINGABE&lt;2,"Bedarfermittlung für zwei Bahnhofsseiten nicht aktiv","Bedarfermittlung für zwei Bahnhofsseiten")</f>
        <v>Bedarfermittlung für zwei Bahnhofsseiten nicht aktiv</v>
      </c>
      <c r="D37" s="1264"/>
      <c r="E37" s="1264"/>
      <c r="F37" s="1264"/>
      <c r="G37" s="1264"/>
      <c r="S37" s="360" t="str">
        <f>IF(VA_ZUGANG_2="","Bezeichnung der Bahnhofsseite fehlt   ↓",VA_ZUGANG_2&amp;"   ↓")</f>
        <v>Bezeichnung der Bahnhofsseite fehlt   ↓</v>
      </c>
      <c r="U37" s="361"/>
      <c r="W37" s="204"/>
      <c r="X37" s="501"/>
    </row>
    <row r="38" spans="1:24" ht="18" customHeight="1" x14ac:dyDescent="0.25">
      <c r="A38" s="227"/>
      <c r="B38" s="255"/>
      <c r="C38" s="1103" t="s">
        <v>109</v>
      </c>
      <c r="D38" s="1104"/>
      <c r="E38" s="1104"/>
      <c r="F38" s="1104"/>
      <c r="G38" s="1105"/>
      <c r="O38" s="362" t="str">
        <f>IF(
VA_ZUSAMMEN=1,"Zusammenfassung beider Bahnhofsseiten   ↓",IF(
AND(OR(VA_BESTANDSEINGABE=0,VA_BESTANDSEINGABE=1),VA_VERKEHRSSTATION=""),"Bahnhofsname nicht eingegeben   ↓",IF(
AND(OR(VA_BESTANDSEINGABE=0,VA_BESTANDSEINGABE=1),VA_VERKEHRSSTATION&lt;&gt;""),VA_VERKEHRSSTATION&amp;"   ↓",IF(
VA_ZUGANG_1="","Bezeichnung der Bahnhofsseite fehlt   ↓",
VA_ZUGANG_1&amp;"   ↓"))))</f>
        <v>Bahnhofsname nicht eingegeben   ↓</v>
      </c>
      <c r="Q38" s="363"/>
      <c r="R38" s="364"/>
      <c r="T38" s="303"/>
      <c r="U38" s="227"/>
      <c r="W38" s="204"/>
      <c r="X38" s="501"/>
    </row>
    <row r="39" spans="1:24" ht="14.1" customHeight="1" x14ac:dyDescent="0.25">
      <c r="A39" s="227"/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305"/>
      <c r="Q39" s="237"/>
      <c r="R39" s="237"/>
      <c r="S39" s="237"/>
      <c r="T39" s="305"/>
      <c r="U39" s="239"/>
      <c r="W39" s="204"/>
      <c r="X39" s="501"/>
    </row>
    <row r="40" spans="1:24" ht="24" customHeight="1" x14ac:dyDescent="0.25">
      <c r="A40" s="227"/>
      <c r="B40" s="291"/>
      <c r="C40" s="234" t="s">
        <v>10</v>
      </c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35"/>
      <c r="W40" s="204"/>
      <c r="X40" s="501"/>
    </row>
    <row r="41" spans="1:24" ht="14.1" customHeight="1" x14ac:dyDescent="0.25">
      <c r="A41" s="227"/>
      <c r="B41" s="255"/>
      <c r="L41" s="303"/>
      <c r="P41" s="303"/>
      <c r="T41" s="303"/>
      <c r="U41" s="227"/>
      <c r="W41" s="204"/>
      <c r="X41" s="501"/>
    </row>
    <row r="42" spans="1:24" ht="18" customHeight="1" x14ac:dyDescent="0.25">
      <c r="A42" s="227"/>
      <c r="B42" s="255"/>
      <c r="C42" s="203" t="s">
        <v>242</v>
      </c>
      <c r="L42" s="303"/>
      <c r="N42" s="1187">
        <f>intern!K57</f>
        <v>0</v>
      </c>
      <c r="O42" s="1187"/>
      <c r="P42" s="303"/>
      <c r="R42" s="1187">
        <f>intern!U57</f>
        <v>0</v>
      </c>
      <c r="S42" s="1187"/>
      <c r="T42" s="303"/>
      <c r="U42" s="227"/>
      <c r="W42" s="204"/>
      <c r="X42" s="501"/>
    </row>
    <row r="43" spans="1:24" ht="3.95" customHeight="1" x14ac:dyDescent="0.25">
      <c r="A43" s="227"/>
      <c r="B43" s="255"/>
      <c r="L43" s="303"/>
      <c r="P43" s="303"/>
      <c r="T43" s="303"/>
      <c r="U43" s="227"/>
      <c r="W43" s="204"/>
      <c r="X43" s="501"/>
    </row>
    <row r="44" spans="1:24" ht="18" customHeight="1" x14ac:dyDescent="0.25">
      <c r="A44" s="227"/>
      <c r="B44" s="255"/>
      <c r="C44" s="203" t="s">
        <v>250</v>
      </c>
      <c r="L44" s="303"/>
      <c r="M44" s="687" t="s">
        <v>106</v>
      </c>
      <c r="N44" s="1187">
        <f>intern!E57</f>
        <v>0</v>
      </c>
      <c r="O44" s="1187"/>
      <c r="P44" s="303"/>
      <c r="Q44" s="687" t="s">
        <v>106</v>
      </c>
      <c r="R44" s="1187">
        <f>intern!O57</f>
        <v>0</v>
      </c>
      <c r="S44" s="1187"/>
      <c r="T44" s="303"/>
      <c r="U44" s="227"/>
      <c r="W44" s="204"/>
      <c r="X44" s="501"/>
    </row>
    <row r="45" spans="1:24" ht="3.95" customHeight="1" x14ac:dyDescent="0.25">
      <c r="A45" s="227"/>
      <c r="B45" s="255"/>
      <c r="L45" s="303"/>
      <c r="P45" s="303"/>
      <c r="T45" s="303"/>
      <c r="U45" s="227"/>
      <c r="W45" s="204"/>
      <c r="X45" s="501"/>
    </row>
    <row r="46" spans="1:24" ht="18" customHeight="1" x14ac:dyDescent="0.25">
      <c r="A46" s="227"/>
      <c r="B46" s="255"/>
      <c r="C46" s="261" t="s">
        <v>108</v>
      </c>
      <c r="L46" s="303"/>
      <c r="M46" s="687" t="s">
        <v>107</v>
      </c>
      <c r="N46" s="1187">
        <f>N42+N44</f>
        <v>0</v>
      </c>
      <c r="O46" s="1187"/>
      <c r="P46" s="303"/>
      <c r="Q46" s="687" t="s">
        <v>107</v>
      </c>
      <c r="R46" s="1187">
        <f>R42+R44</f>
        <v>0</v>
      </c>
      <c r="S46" s="1187"/>
      <c r="T46" s="303"/>
      <c r="U46" s="227"/>
      <c r="W46" s="204"/>
      <c r="X46" s="501"/>
    </row>
    <row r="47" spans="1:24" ht="6.95" customHeight="1" x14ac:dyDescent="0.25">
      <c r="A47" s="227"/>
      <c r="B47" s="308"/>
      <c r="C47" s="365"/>
      <c r="D47" s="309"/>
      <c r="E47" s="309"/>
      <c r="F47" s="309"/>
      <c r="G47" s="309"/>
      <c r="H47" s="309"/>
      <c r="I47" s="309"/>
      <c r="J47" s="309"/>
      <c r="K47" s="309"/>
      <c r="L47" s="318"/>
      <c r="M47" s="366"/>
      <c r="N47" s="309"/>
      <c r="O47" s="309"/>
      <c r="P47" s="318"/>
      <c r="Q47" s="366"/>
      <c r="R47" s="309"/>
      <c r="S47" s="309"/>
      <c r="T47" s="318"/>
      <c r="U47" s="227"/>
      <c r="W47" s="204"/>
      <c r="X47" s="501"/>
    </row>
    <row r="48" spans="1:24" ht="6.95" customHeight="1" x14ac:dyDescent="0.25">
      <c r="A48" s="227"/>
      <c r="B48" s="255"/>
      <c r="L48" s="303"/>
      <c r="P48" s="303"/>
      <c r="T48" s="303"/>
      <c r="U48" s="361"/>
      <c r="W48" s="204"/>
      <c r="X48" s="501"/>
    </row>
    <row r="49" spans="1:24" ht="18" customHeight="1" x14ac:dyDescent="0.25">
      <c r="A49" s="227"/>
      <c r="B49" s="255"/>
      <c r="C49" s="203" t="s">
        <v>131</v>
      </c>
      <c r="L49" s="303"/>
      <c r="M49" s="687" t="s">
        <v>106</v>
      </c>
      <c r="N49" s="1187">
        <f>ROUNDUP(N46*0.4,0)</f>
        <v>0</v>
      </c>
      <c r="O49" s="1187"/>
      <c r="P49" s="303"/>
      <c r="Q49" s="687" t="s">
        <v>106</v>
      </c>
      <c r="R49" s="1187">
        <f>ROUNDUP(R46*0.4,0)</f>
        <v>0</v>
      </c>
      <c r="S49" s="1187"/>
      <c r="T49" s="303"/>
      <c r="U49" s="227"/>
      <c r="W49" s="204"/>
      <c r="X49" s="501"/>
    </row>
    <row r="50" spans="1:24" ht="3.95" customHeight="1" x14ac:dyDescent="0.25">
      <c r="A50" s="227"/>
      <c r="B50" s="255"/>
      <c r="L50" s="303"/>
      <c r="P50" s="303"/>
      <c r="T50" s="303"/>
      <c r="U50" s="227"/>
      <c r="W50" s="204"/>
      <c r="X50" s="501"/>
    </row>
    <row r="51" spans="1:24" ht="18" customHeight="1" x14ac:dyDescent="0.25">
      <c r="A51" s="227"/>
      <c r="B51" s="255"/>
      <c r="C51" s="261" t="s">
        <v>96</v>
      </c>
      <c r="L51" s="303"/>
      <c r="M51" s="687" t="s">
        <v>107</v>
      </c>
      <c r="N51" s="1187">
        <f>N46+N49</f>
        <v>0</v>
      </c>
      <c r="O51" s="1187"/>
      <c r="P51" s="303"/>
      <c r="Q51" s="687" t="s">
        <v>107</v>
      </c>
      <c r="R51" s="1187">
        <f>R46+R49</f>
        <v>0</v>
      </c>
      <c r="S51" s="1187"/>
      <c r="T51" s="303"/>
      <c r="U51" s="227"/>
      <c r="W51" s="204"/>
      <c r="X51" s="501"/>
    </row>
    <row r="52" spans="1:24" ht="6.95" customHeight="1" x14ac:dyDescent="0.25">
      <c r="A52" s="227"/>
      <c r="B52" s="308"/>
      <c r="C52" s="365"/>
      <c r="D52" s="309"/>
      <c r="E52" s="309"/>
      <c r="F52" s="309"/>
      <c r="G52" s="309"/>
      <c r="H52" s="309"/>
      <c r="I52" s="309"/>
      <c r="J52" s="309"/>
      <c r="K52" s="309"/>
      <c r="L52" s="318"/>
      <c r="M52" s="366"/>
      <c r="N52" s="309"/>
      <c r="O52" s="309"/>
      <c r="P52" s="318"/>
      <c r="Q52" s="366"/>
      <c r="R52" s="309"/>
      <c r="S52" s="309"/>
      <c r="T52" s="318"/>
      <c r="U52" s="227"/>
      <c r="W52" s="204"/>
      <c r="X52" s="501"/>
    </row>
    <row r="53" spans="1:24" ht="6.95" customHeight="1" x14ac:dyDescent="0.25">
      <c r="A53" s="227"/>
      <c r="B53" s="255"/>
      <c r="L53" s="303"/>
      <c r="P53" s="303"/>
      <c r="T53" s="303"/>
      <c r="U53" s="361"/>
      <c r="W53" s="204"/>
      <c r="X53" s="501"/>
    </row>
    <row r="54" spans="1:24" ht="18" customHeight="1" x14ac:dyDescent="0.25">
      <c r="A54" s="227"/>
      <c r="B54" s="255"/>
      <c r="C54" s="203" t="s">
        <v>243</v>
      </c>
      <c r="L54" s="303"/>
      <c r="M54" s="687" t="s">
        <v>106</v>
      </c>
      <c r="N54" s="1187">
        <f>intern!E58</f>
        <v>0</v>
      </c>
      <c r="O54" s="1187"/>
      <c r="P54" s="303"/>
      <c r="Q54" s="687" t="s">
        <v>106</v>
      </c>
      <c r="R54" s="1187">
        <f>intern!O58</f>
        <v>0</v>
      </c>
      <c r="S54" s="1187"/>
      <c r="T54" s="303"/>
      <c r="U54" s="227"/>
      <c r="W54" s="204"/>
      <c r="X54" s="501"/>
    </row>
    <row r="55" spans="1:24" ht="3.95" customHeight="1" x14ac:dyDescent="0.25">
      <c r="A55" s="227"/>
      <c r="B55" s="255"/>
      <c r="L55" s="303"/>
      <c r="P55" s="303"/>
      <c r="T55" s="303"/>
      <c r="U55" s="227"/>
      <c r="W55" s="204"/>
      <c r="X55" s="501"/>
    </row>
    <row r="56" spans="1:24" ht="18" customHeight="1" x14ac:dyDescent="0.25">
      <c r="A56" s="227"/>
      <c r="B56" s="255"/>
      <c r="C56" s="261" t="s">
        <v>194</v>
      </c>
      <c r="L56" s="303"/>
      <c r="M56" s="687" t="s">
        <v>107</v>
      </c>
      <c r="N56" s="1263">
        <f>N51+N54</f>
        <v>0</v>
      </c>
      <c r="O56" s="1263"/>
      <c r="P56" s="303"/>
      <c r="Q56" s="687" t="s">
        <v>107</v>
      </c>
      <c r="R56" s="1263">
        <f>R51+R54</f>
        <v>0</v>
      </c>
      <c r="S56" s="1263"/>
      <c r="T56" s="303"/>
      <c r="U56" s="227"/>
      <c r="W56" s="204"/>
      <c r="X56" s="501"/>
    </row>
    <row r="57" spans="1:24" ht="14.1" customHeight="1" x14ac:dyDescent="0.25">
      <c r="A57" s="227"/>
      <c r="B57" s="236"/>
      <c r="C57" s="237"/>
      <c r="D57" s="237"/>
      <c r="E57" s="237"/>
      <c r="F57" s="237"/>
      <c r="G57" s="237"/>
      <c r="H57" s="237"/>
      <c r="I57" s="237"/>
      <c r="J57" s="237"/>
      <c r="K57" s="237"/>
      <c r="L57" s="305"/>
      <c r="M57" s="237"/>
      <c r="N57" s="237"/>
      <c r="O57" s="237"/>
      <c r="P57" s="305"/>
      <c r="Q57" s="237"/>
      <c r="R57" s="237"/>
      <c r="S57" s="237"/>
      <c r="T57" s="305"/>
      <c r="U57" s="239"/>
      <c r="W57" s="204"/>
      <c r="X57" s="501"/>
    </row>
    <row r="58" spans="1:24" ht="24" customHeight="1" x14ac:dyDescent="0.25">
      <c r="A58" s="227"/>
      <c r="B58" s="291"/>
      <c r="C58" s="234" t="s">
        <v>12</v>
      </c>
      <c r="D58" s="273"/>
      <c r="E58" s="273"/>
      <c r="F58" s="273"/>
      <c r="G58" s="273"/>
      <c r="H58" s="273"/>
      <c r="I58" s="273"/>
      <c r="J58" s="273"/>
      <c r="K58" s="273"/>
      <c r="L58" s="273"/>
      <c r="M58" s="273"/>
      <c r="N58" s="273"/>
      <c r="O58" s="273"/>
      <c r="P58" s="273"/>
      <c r="Q58" s="273"/>
      <c r="R58" s="273"/>
      <c r="S58" s="273"/>
      <c r="T58" s="273"/>
      <c r="U58" s="235"/>
      <c r="W58" s="204"/>
      <c r="X58" s="501"/>
    </row>
    <row r="59" spans="1:24" ht="14.1" customHeight="1" x14ac:dyDescent="0.25">
      <c r="A59" s="227"/>
      <c r="B59" s="255"/>
      <c r="L59" s="303"/>
      <c r="P59" s="303"/>
      <c r="T59" s="303"/>
      <c r="U59" s="227"/>
      <c r="W59" s="204"/>
      <c r="X59" s="501"/>
    </row>
    <row r="60" spans="1:24" ht="18" customHeight="1" x14ac:dyDescent="0.25">
      <c r="A60" s="227"/>
      <c r="B60" s="255"/>
      <c r="C60" s="203" t="str">
        <f>TBS_3a</f>
        <v>Trendfaktor ermittelt durch: keine Auswahl</v>
      </c>
      <c r="K60" s="688" t="str">
        <f>IFERROR(VA_TF-1,"")</f>
        <v/>
      </c>
      <c r="L60" s="303"/>
      <c r="P60" s="303"/>
      <c r="T60" s="303"/>
      <c r="U60" s="227"/>
      <c r="W60" s="204"/>
      <c r="X60" s="501"/>
    </row>
    <row r="61" spans="1:24" ht="3.95" customHeight="1" x14ac:dyDescent="0.25">
      <c r="A61" s="227"/>
      <c r="B61" s="255"/>
      <c r="L61" s="303"/>
      <c r="P61" s="303"/>
      <c r="T61" s="303"/>
      <c r="U61" s="227"/>
      <c r="W61" s="204"/>
      <c r="X61" s="501"/>
    </row>
    <row r="62" spans="1:24" ht="18" customHeight="1" x14ac:dyDescent="0.25">
      <c r="A62" s="227"/>
      <c r="B62" s="255"/>
      <c r="C62" s="203" t="str">
        <f>TBS_3b</f>
        <v>Anteil Umweltverbund (nur bei Bevölkerungsprognose relevant)</v>
      </c>
      <c r="K62" s="688" t="str">
        <f>IF(
VA_TFAUSWAHL&lt;&gt;3,"",IF(
VP_3_UVB-1=0,"0,0 %",
VP_3_UVB-1))</f>
        <v/>
      </c>
      <c r="L62" s="303"/>
      <c r="P62" s="303"/>
      <c r="T62" s="303"/>
      <c r="U62" s="227"/>
      <c r="W62" s="204"/>
      <c r="X62" s="501"/>
    </row>
    <row r="63" spans="1:24" ht="14.1" customHeight="1" x14ac:dyDescent="0.25">
      <c r="A63" s="227"/>
      <c r="B63" s="255"/>
      <c r="L63" s="303"/>
      <c r="P63" s="303"/>
      <c r="T63" s="303"/>
      <c r="U63" s="227"/>
      <c r="W63" s="204"/>
      <c r="X63" s="501"/>
    </row>
    <row r="64" spans="1:24" ht="18" customHeight="1" x14ac:dyDescent="0.25">
      <c r="A64" s="227"/>
      <c r="B64" s="255"/>
      <c r="C64" s="203" t="s">
        <v>110</v>
      </c>
      <c r="K64" s="689"/>
      <c r="L64" s="303"/>
      <c r="N64" s="1187">
        <f>N56</f>
        <v>0</v>
      </c>
      <c r="O64" s="1187"/>
      <c r="P64" s="303"/>
      <c r="R64" s="1187">
        <f>R56</f>
        <v>0</v>
      </c>
      <c r="S64" s="1187"/>
      <c r="T64" s="303"/>
      <c r="U64" s="227"/>
      <c r="W64" s="204"/>
      <c r="X64" s="501"/>
    </row>
    <row r="65" spans="1:24" ht="3.95" customHeight="1" x14ac:dyDescent="0.25">
      <c r="A65" s="227"/>
      <c r="B65" s="255"/>
      <c r="L65" s="303"/>
      <c r="P65" s="303"/>
      <c r="T65" s="303"/>
      <c r="U65" s="227"/>
      <c r="W65" s="204"/>
      <c r="X65" s="501"/>
    </row>
    <row r="66" spans="1:24" ht="18" customHeight="1" x14ac:dyDescent="0.25">
      <c r="A66" s="227"/>
      <c r="B66" s="255"/>
      <c r="C66" s="203" t="str">
        <f>IFERROR(TBS_3c,"Benötigte zusätzliche Stellplätze aufgrund Trendfaktor")</f>
        <v>Benötigte zusätzliche Stellplätze aufgrund Trendfaktor</v>
      </c>
      <c r="L66" s="303"/>
      <c r="M66" s="687" t="str">
        <f>IFERROR(IF((VA_TF*VP_3_UVB)&lt;1,"−","+"),"+")</f>
        <v>+</v>
      </c>
      <c r="N66" s="1187">
        <f>IFERROR(IF(
(ROUNDUP(N64*ROUND((VA_TF*VP_3_UVB)-1,4),0))&lt;0,
(ROUNDUP(N64*ROUND((VA_TF*VP_3_UVB)-1,4),0))*(-1),
(ROUNDUP(N64*ROUND((VA_TF*VP_3_UVB)-1,4),0))),
0)</f>
        <v>0</v>
      </c>
      <c r="O66" s="1187"/>
      <c r="P66" s="303"/>
      <c r="Q66" s="687" t="str">
        <f>IFERROR(IF((VA_TF*VP_3_UVB)&lt;1,"−","+"),"+")</f>
        <v>+</v>
      </c>
      <c r="R66" s="1187">
        <f>IFERROR(IF(
(ROUNDUP(R64*ROUND((VA_TF*VP_3_UVB)-1,4),0))&lt;0,
(ROUNDUP(R64*ROUND((VA_TF*VP_3_UVB)-1,4),0))*(-1),
(ROUNDUP(R64*ROUND((VA_TF*VP_3_UVB)-1,4),0))),
0)</f>
        <v>0</v>
      </c>
      <c r="S66" s="1187"/>
      <c r="T66" s="303"/>
      <c r="U66" s="227"/>
      <c r="W66" s="204"/>
      <c r="X66" s="501"/>
    </row>
    <row r="67" spans="1:24" ht="3.95" customHeight="1" x14ac:dyDescent="0.25">
      <c r="A67" s="227"/>
      <c r="B67" s="255"/>
      <c r="L67" s="303"/>
      <c r="P67" s="303"/>
      <c r="T67" s="303"/>
      <c r="U67" s="227"/>
      <c r="W67" s="204"/>
      <c r="X67" s="501"/>
    </row>
    <row r="68" spans="1:24" ht="18" customHeight="1" x14ac:dyDescent="0.25">
      <c r="A68" s="227"/>
      <c r="B68" s="255"/>
      <c r="C68" s="261" t="str">
        <f>TBS_3d</f>
        <v>Gesamtbedarf optimaler Stellplätze</v>
      </c>
      <c r="L68" s="303"/>
      <c r="M68" s="687" t="s">
        <v>107</v>
      </c>
      <c r="N68" s="1263">
        <f>IFERROR(IF(M66="+",N64+N66,N64-N66),0)</f>
        <v>0</v>
      </c>
      <c r="O68" s="1263"/>
      <c r="P68" s="303"/>
      <c r="Q68" s="687" t="s">
        <v>107</v>
      </c>
      <c r="R68" s="1263">
        <f>IFERROR(IF(Q66="+",R64+R66,R64-R66),0)</f>
        <v>0</v>
      </c>
      <c r="S68" s="1263"/>
      <c r="T68" s="303"/>
      <c r="U68" s="227"/>
      <c r="W68" s="204"/>
      <c r="X68" s="501"/>
    </row>
    <row r="69" spans="1:24" ht="14.1" customHeight="1" x14ac:dyDescent="0.25">
      <c r="A69" s="227"/>
      <c r="B69" s="236"/>
      <c r="C69" s="237"/>
      <c r="D69" s="237"/>
      <c r="E69" s="237"/>
      <c r="F69" s="237"/>
      <c r="G69" s="237"/>
      <c r="H69" s="237"/>
      <c r="I69" s="237"/>
      <c r="J69" s="237"/>
      <c r="K69" s="237"/>
      <c r="L69" s="305"/>
      <c r="M69" s="237"/>
      <c r="N69" s="237"/>
      <c r="O69" s="237"/>
      <c r="P69" s="305"/>
      <c r="Q69" s="237"/>
      <c r="R69" s="237"/>
      <c r="S69" s="237"/>
      <c r="T69" s="305"/>
      <c r="U69" s="239"/>
      <c r="W69" s="204"/>
      <c r="X69" s="501"/>
    </row>
    <row r="70" spans="1:24" ht="24" customHeight="1" x14ac:dyDescent="0.25">
      <c r="A70" s="227"/>
      <c r="B70" s="291"/>
      <c r="C70" s="234" t="s">
        <v>114</v>
      </c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273"/>
      <c r="P70" s="273"/>
      <c r="Q70" s="273"/>
      <c r="R70" s="273"/>
      <c r="S70" s="273"/>
      <c r="T70" s="273"/>
      <c r="U70" s="235"/>
      <c r="W70" s="204"/>
      <c r="X70" s="501"/>
    </row>
    <row r="71" spans="1:24" ht="14.1" customHeight="1" x14ac:dyDescent="0.25">
      <c r="A71" s="227"/>
      <c r="B71" s="255"/>
      <c r="L71" s="303"/>
      <c r="P71" s="303"/>
      <c r="T71" s="303"/>
      <c r="U71" s="227"/>
      <c r="W71" s="204"/>
      <c r="X71" s="501"/>
    </row>
    <row r="72" spans="1:24" ht="18" customHeight="1" x14ac:dyDescent="0.25">
      <c r="A72" s="227"/>
      <c r="B72" s="255"/>
      <c r="C72" s="203" t="s">
        <v>197</v>
      </c>
      <c r="L72" s="303"/>
      <c r="M72" s="687"/>
      <c r="N72" s="1187">
        <f>N68</f>
        <v>0</v>
      </c>
      <c r="O72" s="1187"/>
      <c r="P72" s="303"/>
      <c r="Q72" s="687"/>
      <c r="R72" s="1187">
        <f>R68</f>
        <v>0</v>
      </c>
      <c r="S72" s="1187"/>
      <c r="T72" s="303"/>
      <c r="U72" s="227"/>
      <c r="W72" s="204"/>
      <c r="X72" s="501"/>
    </row>
    <row r="73" spans="1:24" ht="3.95" customHeight="1" x14ac:dyDescent="0.25">
      <c r="A73" s="227"/>
      <c r="B73" s="255"/>
      <c r="L73" s="303"/>
      <c r="M73" s="687"/>
      <c r="P73" s="303"/>
      <c r="Q73" s="687"/>
      <c r="T73" s="303"/>
      <c r="U73" s="227"/>
      <c r="W73" s="204"/>
      <c r="X73" s="501"/>
    </row>
    <row r="74" spans="1:24" ht="18" customHeight="1" x14ac:dyDescent="0.25">
      <c r="A74" s="227"/>
      <c r="B74" s="255"/>
      <c r="C74" s="203" t="s">
        <v>111</v>
      </c>
      <c r="L74" s="303"/>
      <c r="M74" s="687" t="s">
        <v>112</v>
      </c>
      <c r="N74" s="1187">
        <f>intern!D56</f>
        <v>0</v>
      </c>
      <c r="O74" s="1187"/>
      <c r="P74" s="303"/>
      <c r="Q74" s="687" t="s">
        <v>112</v>
      </c>
      <c r="R74" s="1187">
        <f>intern!N56</f>
        <v>0</v>
      </c>
      <c r="S74" s="1187"/>
      <c r="T74" s="303"/>
      <c r="U74" s="227"/>
      <c r="W74" s="204"/>
      <c r="X74" s="501"/>
    </row>
    <row r="75" spans="1:24" ht="3.95" customHeight="1" x14ac:dyDescent="0.25">
      <c r="A75" s="227"/>
      <c r="B75" s="255"/>
      <c r="L75" s="303"/>
      <c r="M75" s="687"/>
      <c r="P75" s="303"/>
      <c r="Q75" s="687"/>
      <c r="T75" s="303"/>
      <c r="U75" s="227"/>
      <c r="W75" s="204"/>
      <c r="X75" s="501"/>
    </row>
    <row r="76" spans="1:24" ht="18" customHeight="1" x14ac:dyDescent="0.25">
      <c r="A76" s="227"/>
      <c r="B76" s="255"/>
      <c r="C76" s="261" t="s">
        <v>113</v>
      </c>
      <c r="L76" s="303"/>
      <c r="M76" s="687" t="s">
        <v>107</v>
      </c>
      <c r="N76" s="1187">
        <f>IF(N72-N74&lt;0,0,N72-N74)</f>
        <v>0</v>
      </c>
      <c r="O76" s="1187"/>
      <c r="P76" s="303"/>
      <c r="Q76" s="687" t="s">
        <v>107</v>
      </c>
      <c r="R76" s="1187">
        <f>IF(R72-R74&lt;0,0,R72-R74)</f>
        <v>0</v>
      </c>
      <c r="S76" s="1187"/>
      <c r="T76" s="303"/>
      <c r="U76" s="227"/>
      <c r="W76" s="204"/>
      <c r="X76" s="501"/>
    </row>
    <row r="77" spans="1:24" ht="6.95" customHeight="1" x14ac:dyDescent="0.25">
      <c r="A77" s="227"/>
      <c r="B77" s="308"/>
      <c r="C77" s="309"/>
      <c r="D77" s="309"/>
      <c r="E77" s="309"/>
      <c r="F77" s="309"/>
      <c r="G77" s="309"/>
      <c r="H77" s="309"/>
      <c r="I77" s="309"/>
      <c r="J77" s="309"/>
      <c r="K77" s="309"/>
      <c r="L77" s="318"/>
      <c r="M77" s="309"/>
      <c r="N77" s="309"/>
      <c r="O77" s="309"/>
      <c r="P77" s="318"/>
      <c r="Q77" s="309"/>
      <c r="R77" s="309"/>
      <c r="S77" s="309"/>
      <c r="T77" s="318"/>
      <c r="U77" s="311"/>
      <c r="W77" s="204"/>
      <c r="X77" s="501"/>
    </row>
    <row r="78" spans="1:24" ht="6.95" customHeight="1" x14ac:dyDescent="0.25">
      <c r="A78" s="227"/>
      <c r="B78" s="255"/>
      <c r="L78" s="321"/>
      <c r="P78" s="321"/>
      <c r="T78" s="321"/>
      <c r="U78" s="227"/>
      <c r="W78" s="204"/>
      <c r="X78" s="501"/>
    </row>
    <row r="79" spans="1:24" ht="18" customHeight="1" x14ac:dyDescent="0.25">
      <c r="A79" s="227"/>
      <c r="B79" s="255"/>
      <c r="C79" s="203" t="str">
        <f>"Erstmalige Errichtung gesicherter Stellplätze am Bahnhof / Haltepunkt"&amp;IF(VP_5_ERSTMALIGSICHER=0,"  (Option nicht gewählt)","")</f>
        <v>Erstmalige Errichtung gesicherter Stellplätze am Bahnhof / Haltepunkt  (Option nicht gewählt)</v>
      </c>
      <c r="L79" s="303"/>
      <c r="O79" s="690" t="s">
        <v>27</v>
      </c>
      <c r="P79" s="303"/>
      <c r="S79" s="690" t="s">
        <v>27</v>
      </c>
      <c r="T79" s="303"/>
      <c r="U79" s="227"/>
      <c r="W79" s="204"/>
      <c r="X79" s="501"/>
    </row>
    <row r="80" spans="1:24" ht="3.95" customHeight="1" x14ac:dyDescent="0.25">
      <c r="A80" s="227"/>
      <c r="B80" s="255"/>
      <c r="L80" s="303"/>
      <c r="M80" s="687"/>
      <c r="O80" s="691"/>
      <c r="P80" s="303"/>
      <c r="Q80" s="687"/>
      <c r="R80" s="391"/>
      <c r="S80" s="691"/>
      <c r="T80" s="303"/>
      <c r="U80" s="227"/>
      <c r="W80" s="204"/>
      <c r="X80" s="501"/>
    </row>
    <row r="81" spans="1:24" ht="18" customHeight="1" x14ac:dyDescent="0.25">
      <c r="A81" s="227"/>
      <c r="B81" s="255"/>
      <c r="C81" s="203" t="s">
        <v>770</v>
      </c>
      <c r="L81" s="303"/>
      <c r="N81" s="692"/>
      <c r="O81" s="693">
        <v>24</v>
      </c>
      <c r="P81" s="303"/>
      <c r="S81" s="693">
        <v>24</v>
      </c>
      <c r="T81" s="303"/>
      <c r="U81" s="227"/>
      <c r="W81" s="204"/>
      <c r="X81" s="501"/>
    </row>
    <row r="82" spans="1:24" ht="3.95" customHeight="1" x14ac:dyDescent="0.25">
      <c r="A82" s="227"/>
      <c r="B82" s="255"/>
      <c r="L82" s="303"/>
      <c r="M82" s="687"/>
      <c r="N82" s="391"/>
      <c r="O82" s="391"/>
      <c r="P82" s="303"/>
      <c r="Q82" s="687"/>
      <c r="R82" s="391"/>
      <c r="S82" s="391"/>
      <c r="T82" s="303"/>
      <c r="U82" s="227"/>
      <c r="W82" s="204"/>
      <c r="X82" s="501"/>
    </row>
    <row r="83" spans="1:24" ht="18" customHeight="1" x14ac:dyDescent="0.25">
      <c r="A83" s="227"/>
      <c r="B83" s="255"/>
      <c r="C83" s="203" t="s">
        <v>244</v>
      </c>
      <c r="L83" s="303"/>
      <c r="M83" s="687" t="s">
        <v>106</v>
      </c>
      <c r="N83" s="1120">
        <f>IF(AND(VP_5_ERSTMALIGSICHER=1,N76&lt;24),24-N76,0)</f>
        <v>0</v>
      </c>
      <c r="O83" s="1120"/>
      <c r="P83" s="303"/>
      <c r="Q83" s="687" t="s">
        <v>106</v>
      </c>
      <c r="R83" s="1120">
        <f>IF(AND(VP_5_ERSTMALIGSICHER=1,R76&lt;24),24-R76,0)</f>
        <v>0</v>
      </c>
      <c r="S83" s="1120"/>
      <c r="T83" s="303"/>
      <c r="U83" s="227"/>
      <c r="W83" s="204"/>
      <c r="X83" s="501"/>
    </row>
    <row r="84" spans="1:24" ht="14.1" customHeight="1" x14ac:dyDescent="0.25">
      <c r="A84" s="227"/>
      <c r="B84" s="255"/>
      <c r="L84" s="303"/>
      <c r="M84" s="687"/>
      <c r="N84" s="391"/>
      <c r="O84" s="391"/>
      <c r="P84" s="303"/>
      <c r="Q84" s="687"/>
      <c r="R84" s="391"/>
      <c r="S84" s="391"/>
      <c r="T84" s="303"/>
      <c r="U84" s="227"/>
      <c r="W84" s="204"/>
      <c r="X84" s="501"/>
    </row>
    <row r="85" spans="1:24" ht="18" customHeight="1" x14ac:dyDescent="0.25">
      <c r="A85" s="227"/>
      <c r="B85" s="255"/>
      <c r="C85" s="203" t="s">
        <v>771</v>
      </c>
      <c r="L85" s="303"/>
      <c r="P85" s="303"/>
      <c r="T85" s="303"/>
      <c r="U85" s="227"/>
      <c r="W85" s="204"/>
      <c r="X85" s="501"/>
    </row>
    <row r="86" spans="1:24" ht="3.95" customHeight="1" x14ac:dyDescent="0.25">
      <c r="A86" s="227"/>
      <c r="B86" s="255"/>
      <c r="L86" s="303"/>
      <c r="P86" s="303"/>
      <c r="T86" s="303"/>
      <c r="U86" s="227"/>
      <c r="W86" s="204"/>
      <c r="X86" s="501"/>
    </row>
    <row r="87" spans="1:24" ht="18" customHeight="1" x14ac:dyDescent="0.25">
      <c r="A87" s="227"/>
      <c r="B87" s="255"/>
      <c r="C87" s="203" t="str">
        <f>"  ▪   Diebstahl- und Vandalismusschwerpunkt"&amp;IF(VP_5_DIEBSTAHL&gt;1," (+ 15 % von Baubedarf)","")</f>
        <v xml:space="preserve">  ▪   Diebstahl- und Vandalismusschwerpunkt</v>
      </c>
      <c r="L87" s="303"/>
      <c r="M87" s="687" t="s">
        <v>106</v>
      </c>
      <c r="N87" s="1262">
        <f>ROUNDUP((N76+N83)*(VP_5_DIEBSTAHL-1),0)</f>
        <v>0</v>
      </c>
      <c r="O87" s="1262"/>
      <c r="P87" s="303"/>
      <c r="Q87" s="687" t="s">
        <v>106</v>
      </c>
      <c r="R87" s="1262">
        <f>ROUNDUP((R76+R83)*(VP_5_DIEBSTAHL-1),0)</f>
        <v>0</v>
      </c>
      <c r="S87" s="1262"/>
      <c r="T87" s="303"/>
      <c r="U87" s="227"/>
      <c r="W87" s="204"/>
      <c r="X87" s="501"/>
    </row>
    <row r="88" spans="1:24" ht="3.95" customHeight="1" x14ac:dyDescent="0.25">
      <c r="A88" s="227"/>
      <c r="B88" s="255"/>
      <c r="L88" s="303"/>
      <c r="P88" s="303"/>
      <c r="T88" s="303"/>
      <c r="U88" s="227"/>
      <c r="W88" s="204"/>
      <c r="X88" s="501"/>
    </row>
    <row r="89" spans="1:24" ht="18" customHeight="1" x14ac:dyDescent="0.25">
      <c r="A89" s="227"/>
      <c r="B89" s="255"/>
      <c r="C89" s="203" t="str">
        <f>"  ▪   entgeltfreie Nutzung gesicherter Stellplätze"&amp;IF(VP_5_ENTGELTFREI&gt;1," (+ 15 % von Baubadarf)","")</f>
        <v xml:space="preserve">  ▪   entgeltfreie Nutzung gesicherter Stellplätze</v>
      </c>
      <c r="L89" s="303"/>
      <c r="M89" s="687" t="s">
        <v>106</v>
      </c>
      <c r="N89" s="1262">
        <f>ROUNDUP((N76+N83)*(VP_5_ENTGELTFREI-1),0)</f>
        <v>0</v>
      </c>
      <c r="O89" s="1262"/>
      <c r="P89" s="303"/>
      <c r="Q89" s="687" t="s">
        <v>106</v>
      </c>
      <c r="R89" s="1262">
        <f>ROUNDUP((R76+R83)*(VP_5_ENTGELTFREI-1),0)</f>
        <v>0</v>
      </c>
      <c r="S89" s="1262"/>
      <c r="T89" s="303"/>
      <c r="U89" s="227"/>
      <c r="W89" s="204"/>
      <c r="X89" s="501"/>
    </row>
    <row r="90" spans="1:24" ht="3.95" customHeight="1" x14ac:dyDescent="0.25">
      <c r="A90" s="227"/>
      <c r="B90" s="255"/>
      <c r="L90" s="303"/>
      <c r="P90" s="303"/>
      <c r="T90" s="303"/>
      <c r="U90" s="227"/>
      <c r="W90" s="204"/>
      <c r="X90" s="501"/>
    </row>
    <row r="91" spans="1:24" ht="18" customHeight="1" x14ac:dyDescent="0.25">
      <c r="A91" s="227"/>
      <c r="B91" s="255"/>
      <c r="C91" s="203" t="str">
        <f>"  ▪   starker Pendlerbahnhof mit erhöhtem Nachtabstellungsbedarf"&amp;IF(VP_5_PENDLER&gt;1," (+ 15 % von Baubedarf)","")</f>
        <v xml:space="preserve">  ▪   starker Pendlerbahnhof mit erhöhtem Nachtabstellungsbedarf</v>
      </c>
      <c r="L91" s="303"/>
      <c r="M91" s="687" t="s">
        <v>106</v>
      </c>
      <c r="N91" s="1262">
        <f>ROUNDUP((N76+N83)*(VP_5_PENDLER-1),0)</f>
        <v>0</v>
      </c>
      <c r="O91" s="1262"/>
      <c r="P91" s="303"/>
      <c r="Q91" s="687" t="s">
        <v>106</v>
      </c>
      <c r="R91" s="1262">
        <f>ROUNDUP((R76+R83)*(VP_5_PENDLER-1),0)</f>
        <v>0</v>
      </c>
      <c r="S91" s="1262"/>
      <c r="T91" s="303"/>
      <c r="U91" s="227"/>
      <c r="W91" s="204"/>
      <c r="X91" s="501"/>
    </row>
    <row r="92" spans="1:24" ht="6.95" customHeight="1" x14ac:dyDescent="0.25">
      <c r="A92" s="227"/>
      <c r="B92" s="308"/>
      <c r="C92" s="309"/>
      <c r="D92" s="309"/>
      <c r="E92" s="309"/>
      <c r="F92" s="309"/>
      <c r="G92" s="309"/>
      <c r="H92" s="309"/>
      <c r="I92" s="309"/>
      <c r="J92" s="309"/>
      <c r="K92" s="309"/>
      <c r="L92" s="318"/>
      <c r="M92" s="309"/>
      <c r="N92" s="309"/>
      <c r="O92" s="309"/>
      <c r="P92" s="318"/>
      <c r="Q92" s="309"/>
      <c r="R92" s="309"/>
      <c r="S92" s="309"/>
      <c r="T92" s="318"/>
      <c r="U92" s="227"/>
      <c r="W92" s="204"/>
      <c r="X92" s="501"/>
    </row>
    <row r="93" spans="1:24" ht="6.95" customHeight="1" x14ac:dyDescent="0.25">
      <c r="A93" s="227"/>
      <c r="B93" s="255"/>
      <c r="L93" s="303"/>
      <c r="P93" s="303"/>
      <c r="T93" s="303"/>
      <c r="U93" s="227"/>
      <c r="W93" s="204"/>
      <c r="X93" s="501"/>
    </row>
    <row r="94" spans="1:24" ht="18" customHeight="1" x14ac:dyDescent="0.25">
      <c r="A94" s="227"/>
      <c r="B94" s="255"/>
      <c r="C94" s="203" t="s">
        <v>150</v>
      </c>
      <c r="L94" s="303"/>
      <c r="M94" s="687" t="s">
        <v>106</v>
      </c>
      <c r="N94" s="1187">
        <f>IF(VA_ZUSAMMEN=0,VE_VERLEGUNG_1,intern!J52)</f>
        <v>0</v>
      </c>
      <c r="O94" s="1187"/>
      <c r="P94" s="303"/>
      <c r="Q94" s="687" t="s">
        <v>106</v>
      </c>
      <c r="R94" s="1187">
        <f>VE_VERLEGUNG_2</f>
        <v>0</v>
      </c>
      <c r="S94" s="1187"/>
      <c r="T94" s="303"/>
      <c r="U94" s="227"/>
      <c r="W94" s="204"/>
      <c r="X94" s="501"/>
    </row>
    <row r="95" spans="1:24" ht="14.1" customHeight="1" x14ac:dyDescent="0.25">
      <c r="A95" s="227"/>
      <c r="B95" s="255"/>
      <c r="L95" s="303"/>
      <c r="P95" s="303"/>
      <c r="T95" s="303"/>
      <c r="U95" s="227"/>
      <c r="W95" s="204"/>
      <c r="X95" s="501"/>
    </row>
    <row r="96" spans="1:24" ht="24" customHeight="1" x14ac:dyDescent="0.25">
      <c r="A96" s="227"/>
      <c r="B96" s="694"/>
      <c r="C96" s="695" t="s">
        <v>115</v>
      </c>
      <c r="D96" s="696"/>
      <c r="E96" s="696"/>
      <c r="F96" s="696"/>
      <c r="G96" s="696"/>
      <c r="H96" s="696"/>
      <c r="I96" s="696"/>
      <c r="J96" s="696"/>
      <c r="K96" s="696"/>
      <c r="L96" s="367"/>
      <c r="M96" s="697" t="s">
        <v>107</v>
      </c>
      <c r="N96" s="1269">
        <f>N76+N83+N87+N89+N91+N94</f>
        <v>0</v>
      </c>
      <c r="O96" s="1269"/>
      <c r="P96" s="367"/>
      <c r="Q96" s="697" t="s">
        <v>107</v>
      </c>
      <c r="R96" s="1269">
        <f>R76+R83+R87+R89+R91+R94</f>
        <v>0</v>
      </c>
      <c r="S96" s="1269"/>
      <c r="T96" s="367"/>
      <c r="U96" s="227"/>
      <c r="W96" s="204"/>
      <c r="X96" s="501"/>
    </row>
    <row r="97" spans="1:24" ht="3.95" customHeight="1" x14ac:dyDescent="0.25">
      <c r="A97" s="227"/>
      <c r="B97" s="255"/>
      <c r="L97" s="303"/>
      <c r="M97" s="687"/>
      <c r="N97" s="698"/>
      <c r="O97" s="698"/>
      <c r="P97" s="303"/>
      <c r="Q97" s="687"/>
      <c r="R97" s="698"/>
      <c r="S97" s="698"/>
      <c r="T97" s="303"/>
      <c r="U97" s="227"/>
      <c r="W97" s="204"/>
      <c r="X97" s="501"/>
    </row>
    <row r="98" spans="1:24" ht="18" customHeight="1" x14ac:dyDescent="0.25">
      <c r="A98" s="227"/>
      <c r="B98" s="255"/>
      <c r="C98" s="699" t="s">
        <v>772</v>
      </c>
      <c r="L98" s="303"/>
      <c r="M98" s="687"/>
      <c r="N98" s="1262">
        <f>IF(VP_5_ERSTMALIGSICHER=1,24,0)+N87+N89+N91</f>
        <v>0</v>
      </c>
      <c r="O98" s="1262"/>
      <c r="P98" s="303"/>
      <c r="Q98" s="687"/>
      <c r="R98" s="1262">
        <f>IF(VP_5_ERSTMALIGSICHER=1,24,0)+R87+R89+R91</f>
        <v>0</v>
      </c>
      <c r="S98" s="1262"/>
      <c r="T98" s="303"/>
      <c r="U98" s="227"/>
      <c r="W98" s="204"/>
      <c r="X98" s="501"/>
    </row>
    <row r="99" spans="1:24" ht="14.1" customHeight="1" thickBot="1" x14ac:dyDescent="0.3">
      <c r="A99" s="227"/>
      <c r="B99" s="256"/>
      <c r="C99" s="240"/>
      <c r="D99" s="240"/>
      <c r="E99" s="240"/>
      <c r="F99" s="240"/>
      <c r="G99" s="240"/>
      <c r="H99" s="240"/>
      <c r="I99" s="240"/>
      <c r="J99" s="240"/>
      <c r="K99" s="240"/>
      <c r="L99" s="323"/>
      <c r="M99" s="240"/>
      <c r="N99" s="240"/>
      <c r="O99" s="240"/>
      <c r="P99" s="323"/>
      <c r="Q99" s="240"/>
      <c r="R99" s="240"/>
      <c r="S99" s="240"/>
      <c r="T99" s="323"/>
      <c r="U99" s="241"/>
      <c r="W99" s="204"/>
      <c r="X99" s="501"/>
    </row>
    <row r="100" spans="1:24" ht="18" customHeight="1" thickBot="1" x14ac:dyDescent="0.3">
      <c r="B100" s="359"/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  <c r="M100" s="359"/>
      <c r="N100" s="359"/>
      <c r="O100" s="359"/>
      <c r="P100" s="359"/>
      <c r="Q100" s="359"/>
      <c r="R100" s="359"/>
      <c r="S100" s="359"/>
      <c r="T100" s="359"/>
      <c r="U100" s="359"/>
      <c r="W100" s="204"/>
      <c r="X100" s="501"/>
    </row>
    <row r="101" spans="1:24" ht="32.1" customHeight="1" x14ac:dyDescent="0.25">
      <c r="A101" s="227"/>
      <c r="B101" s="257"/>
      <c r="C101" s="258" t="s">
        <v>293</v>
      </c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  <c r="N101" s="259"/>
      <c r="O101" s="259"/>
      <c r="P101" s="259"/>
      <c r="Q101" s="259"/>
      <c r="R101" s="259"/>
      <c r="S101" s="259"/>
      <c r="T101" s="259"/>
      <c r="U101" s="368"/>
      <c r="W101" s="204"/>
      <c r="X101" s="501"/>
    </row>
    <row r="102" spans="1:24" ht="14.1" customHeight="1" x14ac:dyDescent="0.25">
      <c r="A102" s="227"/>
      <c r="B102" s="245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46"/>
      <c r="W102" s="204"/>
      <c r="X102" s="501"/>
    </row>
    <row r="103" spans="1:24" ht="18" customHeight="1" x14ac:dyDescent="0.25">
      <c r="A103" s="227"/>
      <c r="B103" s="245"/>
      <c r="C103" s="202" t="s">
        <v>304</v>
      </c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46"/>
      <c r="W103" s="204"/>
      <c r="X103" s="501"/>
    </row>
    <row r="104" spans="1:24" ht="6" customHeight="1" x14ac:dyDescent="0.25">
      <c r="A104" s="227"/>
      <c r="B104" s="245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46"/>
      <c r="W104" s="204"/>
      <c r="X104" s="501"/>
    </row>
    <row r="105" spans="1:24" ht="18" customHeight="1" x14ac:dyDescent="0.25">
      <c r="A105" s="227"/>
      <c r="B105" s="245"/>
      <c r="C105" s="888" t="s">
        <v>736</v>
      </c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46"/>
      <c r="W105" s="204"/>
      <c r="X105" s="501"/>
    </row>
    <row r="106" spans="1:24" ht="14.1" customHeight="1" x14ac:dyDescent="0.25">
      <c r="A106" s="227"/>
      <c r="B106" s="245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46"/>
      <c r="W106" s="204"/>
      <c r="X106" s="501"/>
    </row>
    <row r="107" spans="1:24" ht="18" customHeight="1" x14ac:dyDescent="0.25">
      <c r="A107" s="227"/>
      <c r="B107" s="245"/>
      <c r="C107" s="324" t="s">
        <v>313</v>
      </c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46"/>
      <c r="W107" s="204"/>
      <c r="X107" s="501"/>
    </row>
    <row r="108" spans="1:24" ht="18" customHeight="1" x14ac:dyDescent="0.25">
      <c r="A108" s="227"/>
      <c r="B108" s="245"/>
      <c r="C108" s="202" t="s">
        <v>306</v>
      </c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46"/>
      <c r="W108" s="204"/>
      <c r="X108" s="501"/>
    </row>
    <row r="109" spans="1:24" ht="18" customHeight="1" x14ac:dyDescent="0.25">
      <c r="A109" s="227"/>
      <c r="B109" s="245"/>
      <c r="C109" s="202" t="s">
        <v>301</v>
      </c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46"/>
      <c r="W109" s="204"/>
      <c r="X109" s="501"/>
    </row>
    <row r="110" spans="1:24" ht="6" customHeight="1" x14ac:dyDescent="0.25">
      <c r="A110" s="227"/>
      <c r="B110" s="245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46"/>
      <c r="W110" s="204"/>
      <c r="X110" s="501"/>
    </row>
    <row r="111" spans="1:24" ht="18" customHeight="1" x14ac:dyDescent="0.25">
      <c r="A111" s="227"/>
      <c r="B111" s="245"/>
      <c r="C111" s="202" t="s">
        <v>905</v>
      </c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46"/>
      <c r="W111" s="204"/>
      <c r="X111" s="501"/>
    </row>
    <row r="112" spans="1:24" ht="18" customHeight="1" x14ac:dyDescent="0.25">
      <c r="A112" s="227"/>
      <c r="B112" s="245"/>
      <c r="C112" s="202" t="s">
        <v>310</v>
      </c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46"/>
      <c r="W112" s="204"/>
      <c r="X112" s="501"/>
    </row>
    <row r="113" spans="1:24" ht="18" customHeight="1" x14ac:dyDescent="0.25">
      <c r="A113" s="227"/>
      <c r="B113" s="245"/>
      <c r="C113" s="202" t="s">
        <v>773</v>
      </c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46"/>
      <c r="W113" s="204"/>
      <c r="X113" s="501"/>
    </row>
    <row r="114" spans="1:24" ht="18" customHeight="1" x14ac:dyDescent="0.25">
      <c r="A114" s="227"/>
      <c r="B114" s="245"/>
      <c r="C114" s="202" t="s">
        <v>308</v>
      </c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46"/>
      <c r="W114" s="204"/>
      <c r="X114" s="501"/>
    </row>
    <row r="115" spans="1:24" ht="6" customHeight="1" x14ac:dyDescent="0.25">
      <c r="A115" s="227"/>
      <c r="B115" s="245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46"/>
      <c r="W115" s="204"/>
      <c r="X115" s="501"/>
    </row>
    <row r="116" spans="1:24" ht="18" customHeight="1" x14ac:dyDescent="0.25">
      <c r="A116" s="227"/>
      <c r="B116" s="245"/>
      <c r="C116" s="202" t="s">
        <v>302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46"/>
      <c r="W116" s="204"/>
      <c r="X116" s="501"/>
    </row>
    <row r="117" spans="1:24" ht="18" customHeight="1" x14ac:dyDescent="0.25">
      <c r="A117" s="227"/>
      <c r="B117" s="245"/>
      <c r="C117" s="202" t="s">
        <v>309</v>
      </c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46"/>
      <c r="W117" s="204"/>
      <c r="X117" s="501"/>
    </row>
    <row r="118" spans="1:24" ht="18" customHeight="1" x14ac:dyDescent="0.25">
      <c r="A118" s="227"/>
      <c r="B118" s="245"/>
      <c r="C118" s="202" t="s">
        <v>774</v>
      </c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46"/>
      <c r="W118" s="204"/>
      <c r="X118" s="501"/>
    </row>
    <row r="119" spans="1:24" ht="14.1" customHeight="1" x14ac:dyDescent="0.25">
      <c r="A119" s="227"/>
      <c r="B119" s="245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46"/>
      <c r="W119" s="204"/>
      <c r="X119" s="501"/>
    </row>
    <row r="120" spans="1:24" ht="18" customHeight="1" x14ac:dyDescent="0.25">
      <c r="A120" s="227"/>
      <c r="B120" s="245"/>
      <c r="C120" s="324" t="s">
        <v>314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46"/>
      <c r="W120" s="204"/>
      <c r="X120" s="501"/>
    </row>
    <row r="121" spans="1:24" ht="18" customHeight="1" x14ac:dyDescent="0.25">
      <c r="A121" s="227"/>
      <c r="B121" s="245"/>
      <c r="C121" s="202" t="s">
        <v>775</v>
      </c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46"/>
      <c r="W121" s="204"/>
      <c r="X121" s="501"/>
    </row>
    <row r="122" spans="1:24" ht="18" customHeight="1" x14ac:dyDescent="0.25">
      <c r="A122" s="227"/>
      <c r="B122" s="245"/>
      <c r="C122" s="202" t="s">
        <v>776</v>
      </c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46"/>
      <c r="W122" s="204"/>
      <c r="X122" s="501"/>
    </row>
    <row r="123" spans="1:24" ht="18" customHeight="1" x14ac:dyDescent="0.25">
      <c r="A123" s="227"/>
      <c r="B123" s="245"/>
      <c r="C123" s="202" t="s">
        <v>305</v>
      </c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46"/>
      <c r="W123" s="204"/>
      <c r="X123" s="501"/>
    </row>
    <row r="124" spans="1:24" ht="6" customHeight="1" x14ac:dyDescent="0.25">
      <c r="A124" s="227"/>
      <c r="B124" s="245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46"/>
      <c r="W124" s="204"/>
      <c r="X124" s="501"/>
    </row>
    <row r="125" spans="1:24" ht="18" customHeight="1" x14ac:dyDescent="0.25">
      <c r="A125" s="227"/>
      <c r="B125" s="245"/>
      <c r="C125" s="202" t="s">
        <v>311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46"/>
      <c r="W125" s="204"/>
      <c r="X125" s="501"/>
    </row>
    <row r="126" spans="1:24" ht="6" customHeight="1" x14ac:dyDescent="0.25">
      <c r="A126" s="227"/>
      <c r="B126" s="245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46"/>
      <c r="W126" s="204"/>
      <c r="X126" s="501"/>
    </row>
    <row r="127" spans="1:24" ht="18" customHeight="1" x14ac:dyDescent="0.25">
      <c r="A127" s="227"/>
      <c r="B127" s="245"/>
      <c r="C127" s="1277" t="s">
        <v>312</v>
      </c>
      <c r="D127" s="1278"/>
      <c r="E127" s="1278"/>
      <c r="F127" s="1278"/>
      <c r="G127" s="1278"/>
      <c r="H127" s="407">
        <v>12</v>
      </c>
      <c r="I127" s="408">
        <v>11</v>
      </c>
      <c r="J127" s="409">
        <v>13</v>
      </c>
      <c r="K127" s="700" t="s">
        <v>303</v>
      </c>
      <c r="L127" s="202"/>
      <c r="M127" s="202"/>
      <c r="N127" s="202"/>
      <c r="O127" s="202"/>
      <c r="P127" s="202"/>
      <c r="Q127" s="202"/>
      <c r="R127" s="202"/>
      <c r="S127" s="202"/>
      <c r="T127" s="202"/>
      <c r="U127" s="246"/>
      <c r="W127" s="204"/>
      <c r="X127" s="501"/>
    </row>
    <row r="128" spans="1:24" ht="14.1" customHeight="1" x14ac:dyDescent="0.25">
      <c r="A128" s="227"/>
      <c r="B128" s="245"/>
      <c r="C128" s="202"/>
      <c r="D128" s="202"/>
      <c r="E128" s="202"/>
      <c r="F128" s="411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46"/>
      <c r="W128" s="204"/>
      <c r="X128" s="501"/>
    </row>
    <row r="129" spans="1:24" ht="24" customHeight="1" x14ac:dyDescent="0.25">
      <c r="A129" s="227"/>
      <c r="B129" s="701"/>
      <c r="C129" s="686" t="s">
        <v>307</v>
      </c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410"/>
      <c r="W129" s="204"/>
      <c r="X129" s="501"/>
    </row>
    <row r="130" spans="1:24" ht="14.1" customHeight="1" x14ac:dyDescent="0.25">
      <c r="A130" s="227"/>
      <c r="B130" s="293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6"/>
      <c r="W130" s="204"/>
      <c r="X130" s="501"/>
    </row>
    <row r="131" spans="1:24" ht="14.1" customHeight="1" x14ac:dyDescent="0.25">
      <c r="A131" s="227"/>
      <c r="B131" s="255"/>
      <c r="U131" s="227"/>
      <c r="W131" s="204"/>
      <c r="X131" s="501"/>
    </row>
    <row r="132" spans="1:24" ht="24" customHeight="1" x14ac:dyDescent="0.25">
      <c r="A132" s="227"/>
      <c r="B132" s="255"/>
      <c r="C132" s="1120" t="str">
        <f>IF(
VA_ZUSAMMEN=1,"Zusammenfassung beider Bahnhofsseiten",IF(
AND(VA_BESTANDSEINGABE=1,VA_VERKEHRSSTATION=""),"Bahnhofsname nicht eingegeben",IF(
AND(VA_BESTANDSEINGABE=1,VA_VERKEHRSSTATION&lt;&gt;""),VA_VERKEHRSSTATION,IF(
VA_ZUGANG_1="","Bezeichnung der Bahnhofsseite fehlt",
VA_ZUGANG_1))))</f>
        <v>Bezeichnung der Bahnhofsseite fehlt</v>
      </c>
      <c r="D132" s="1120"/>
      <c r="E132" s="1120"/>
      <c r="F132" s="1120"/>
      <c r="G132" s="1120"/>
      <c r="H132" s="1120"/>
      <c r="I132" s="1120"/>
      <c r="J132" s="1120"/>
      <c r="K132" s="269"/>
      <c r="M132" s="1120" t="str">
        <f>IF(VA_ZUGANG_2="","Bezeichnung der Bahnhofsseite fehlt",VA_ZUGANG_2)</f>
        <v>Bezeichnung der Bahnhofsseite fehlt</v>
      </c>
      <c r="N132" s="1120"/>
      <c r="O132" s="1120"/>
      <c r="P132" s="1120"/>
      <c r="Q132" s="1120"/>
      <c r="R132" s="1120"/>
      <c r="S132" s="1120"/>
      <c r="T132" s="1120"/>
      <c r="U132" s="227"/>
      <c r="W132" s="204"/>
      <c r="X132" s="501"/>
    </row>
    <row r="133" spans="1:24" ht="14.1" customHeight="1" x14ac:dyDescent="0.25">
      <c r="A133" s="227"/>
      <c r="B133" s="255"/>
      <c r="K133" s="269"/>
      <c r="U133" s="227"/>
      <c r="W133" s="204"/>
      <c r="X133" s="501"/>
    </row>
    <row r="134" spans="1:24" ht="18" customHeight="1" x14ac:dyDescent="0.25">
      <c r="A134" s="227"/>
      <c r="B134" s="255"/>
      <c r="C134" s="261" t="s">
        <v>116</v>
      </c>
      <c r="I134" s="1263">
        <f>N96</f>
        <v>0</v>
      </c>
      <c r="J134" s="1272"/>
      <c r="K134" s="269"/>
      <c r="M134" s="261" t="s">
        <v>116</v>
      </c>
      <c r="S134" s="1263">
        <f>R96</f>
        <v>0</v>
      </c>
      <c r="T134" s="1272"/>
      <c r="U134" s="227"/>
      <c r="W134" s="204"/>
      <c r="X134" s="501"/>
    </row>
    <row r="135" spans="1:24" ht="3.95" customHeight="1" x14ac:dyDescent="0.25">
      <c r="A135" s="227"/>
      <c r="B135" s="255"/>
      <c r="K135" s="269"/>
      <c r="U135" s="227"/>
      <c r="W135" s="204"/>
      <c r="X135" s="501"/>
    </row>
    <row r="136" spans="1:24" ht="18" customHeight="1" x14ac:dyDescent="0.25">
      <c r="A136" s="227"/>
      <c r="B136" s="255"/>
      <c r="C136" s="203" t="s">
        <v>777</v>
      </c>
      <c r="I136" s="1187">
        <f>N98</f>
        <v>0</v>
      </c>
      <c r="J136" s="1120"/>
      <c r="K136" s="269"/>
      <c r="M136" s="203" t="s">
        <v>777</v>
      </c>
      <c r="S136" s="1187">
        <f>R98</f>
        <v>0</v>
      </c>
      <c r="T136" s="1120"/>
      <c r="U136" s="227"/>
      <c r="W136" s="204"/>
      <c r="X136" s="501"/>
    </row>
    <row r="137" spans="1:24" ht="3.95" customHeight="1" x14ac:dyDescent="0.25">
      <c r="A137" s="227"/>
      <c r="B137" s="255"/>
      <c r="K137" s="269"/>
      <c r="U137" s="227"/>
      <c r="W137" s="204"/>
      <c r="X137" s="501"/>
    </row>
    <row r="138" spans="1:24" ht="18" customHeight="1" x14ac:dyDescent="0.25">
      <c r="A138" s="227"/>
      <c r="B138" s="255"/>
      <c r="C138" s="203" t="s">
        <v>117</v>
      </c>
      <c r="I138" s="1187">
        <f>N94</f>
        <v>0</v>
      </c>
      <c r="J138" s="1120"/>
      <c r="K138" s="269"/>
      <c r="M138" s="203" t="s">
        <v>117</v>
      </c>
      <c r="S138" s="1187">
        <f>R94</f>
        <v>0</v>
      </c>
      <c r="T138" s="1120"/>
      <c r="U138" s="227"/>
      <c r="W138" s="204"/>
      <c r="X138" s="501"/>
    </row>
    <row r="139" spans="1:24" ht="14.1" customHeight="1" x14ac:dyDescent="0.25">
      <c r="A139" s="227"/>
      <c r="B139" s="308"/>
      <c r="C139" s="309"/>
      <c r="D139" s="309"/>
      <c r="E139" s="309"/>
      <c r="F139" s="309"/>
      <c r="G139" s="309"/>
      <c r="H139" s="309"/>
      <c r="I139" s="309"/>
      <c r="J139" s="309"/>
      <c r="K139" s="369"/>
      <c r="L139" s="309"/>
      <c r="M139" s="309"/>
      <c r="N139" s="309"/>
      <c r="O139" s="309"/>
      <c r="P139" s="309"/>
      <c r="Q139" s="309"/>
      <c r="R139" s="309"/>
      <c r="S139" s="309"/>
      <c r="T139" s="309"/>
      <c r="U139" s="311"/>
      <c r="W139" s="204"/>
      <c r="X139" s="501"/>
    </row>
    <row r="140" spans="1:24" ht="14.1" customHeight="1" x14ac:dyDescent="0.25">
      <c r="A140" s="227"/>
      <c r="B140" s="255"/>
      <c r="G140" s="1273" t="s">
        <v>225</v>
      </c>
      <c r="H140" s="1273"/>
      <c r="I140" s="1273"/>
      <c r="J140" s="1273"/>
      <c r="K140" s="269"/>
      <c r="Q140" s="1273" t="s">
        <v>225</v>
      </c>
      <c r="R140" s="1273"/>
      <c r="S140" s="1273"/>
      <c r="T140" s="1273"/>
      <c r="U140" s="227"/>
      <c r="W140" s="204"/>
      <c r="X140" s="501"/>
    </row>
    <row r="141" spans="1:24" ht="39.950000000000003" customHeight="1" x14ac:dyDescent="0.25">
      <c r="A141" s="227"/>
      <c r="B141" s="255"/>
      <c r="C141" s="1258" t="s">
        <v>229</v>
      </c>
      <c r="D141" s="1259"/>
      <c r="E141" s="1257" t="s">
        <v>151</v>
      </c>
      <c r="F141" s="1257"/>
      <c r="G141" s="1257" t="s">
        <v>119</v>
      </c>
      <c r="H141" s="1257"/>
      <c r="I141" s="1257" t="s">
        <v>216</v>
      </c>
      <c r="J141" s="1257"/>
      <c r="K141" s="269"/>
      <c r="M141" s="1258" t="s">
        <v>229</v>
      </c>
      <c r="N141" s="1259"/>
      <c r="O141" s="1257" t="s">
        <v>151</v>
      </c>
      <c r="P141" s="1257"/>
      <c r="Q141" s="1257" t="s">
        <v>119</v>
      </c>
      <c r="R141" s="1257"/>
      <c r="S141" s="1257" t="s">
        <v>216</v>
      </c>
      <c r="T141" s="1257"/>
      <c r="U141" s="227"/>
      <c r="W141" s="204"/>
      <c r="X141" s="501"/>
    </row>
    <row r="142" spans="1:24" ht="32.1" customHeight="1" x14ac:dyDescent="0.25">
      <c r="A142" s="227"/>
      <c r="B142" s="255"/>
      <c r="C142" s="1283" t="s">
        <v>8</v>
      </c>
      <c r="D142" s="1284"/>
      <c r="E142" s="1270">
        <f>IF((I134-I142-G142&lt;0),0,I134-I142-G142)</f>
        <v>0</v>
      </c>
      <c r="F142" s="1271"/>
      <c r="G142" s="1270">
        <f>IF(
G145&lt;&gt;"",ROUNDUP(I134*(G145/100),0),IF(
I142&gt;0,0,IF(
ROUNDUP(I134/2,0)&lt;I136,I136,IF(
AND(ROUNDUP(I134/2,0)&lt;24,I136&gt;0),I136,IF(
ROUNDUP(I134/2,0)&lt;24,0,
ROUNDUP(I134/2,0))))))</f>
        <v>0</v>
      </c>
      <c r="H142" s="1271"/>
      <c r="I142" s="1270">
        <f>IF(
I145&lt;&gt;"",ROUNDUP(I134*(I145/100),0),IF(
AND(G145&lt;&gt;"",I146="",I134&gt;V_FPH),ROUNDUP(I134*((100-G145)/100),0),IF(
AND(G145&lt;&gt;"",I146&lt;&gt;"",I134&gt;I146),ROUNDUP(I134*((100-G145)/100),0),IF(
AND(I146="",I134&gt;V_FPH),ROUNDUP(I134*1,0)+N("ehemals 90%"),IF(
AND(I146&lt;&gt;"",I134&gt;I146),ROUNDUP(I134*1,0)+N("ehemals 90%"),
0)))))</f>
        <v>0</v>
      </c>
      <c r="J142" s="1271"/>
      <c r="K142" s="269"/>
      <c r="M142" s="1283" t="s">
        <v>8</v>
      </c>
      <c r="N142" s="1284"/>
      <c r="O142" s="1270">
        <f>IF((S134-S142-Q142&lt;0),0,S134-S142-Q142)</f>
        <v>0</v>
      </c>
      <c r="P142" s="1271"/>
      <c r="Q142" s="1270">
        <f>IF(
Q145&lt;&gt;"",ROUNDUP(S134*(Q145/100),0),IF(
S142&gt;0,0,IF(
ROUNDUP(S134/2,0)&lt;S136,S136,IF(
AND(ROUNDUP(S134/2,0)&lt;24,S136&gt;0),S136,IF(
ROUNDUP(S134/2,0)&lt;24,0,
ROUNDUP(S134/2,0))))))</f>
        <v>0</v>
      </c>
      <c r="R142" s="1271"/>
      <c r="S142" s="1270">
        <f>IF(
S145&lt;&gt;"",ROUNDUP(S134*(S145/100),0),IF(
AND(Q145&lt;&gt;"",S146="",S134&gt;V_FPH),ROUNDUP(S134*((100-Q145)/100),0),IF(
AND(Q145&lt;&gt;"",S146&lt;&gt;"",S134&gt;S146),ROUNDUP(S134*((100-Q145)/100),0),IF(
AND(S146="",S134&gt;V_FPH),ROUNDUP(S134*1,0)+N("ehemals 90%"),IF(
AND(S146&lt;&gt;"",S134&gt;S146),ROUNDUP(S134*1,0)+N("ehemals 90%"),
0)))))</f>
        <v>0</v>
      </c>
      <c r="T142" s="1271"/>
      <c r="U142" s="227"/>
      <c r="W142" s="204"/>
      <c r="X142" s="501"/>
    </row>
    <row r="143" spans="1:24" ht="24" customHeight="1" x14ac:dyDescent="0.25">
      <c r="A143" s="227"/>
      <c r="B143" s="255"/>
      <c r="C143" s="1172" t="s">
        <v>744</v>
      </c>
      <c r="D143" s="1173"/>
      <c r="E143" s="1174" t="s">
        <v>105</v>
      </c>
      <c r="F143" s="1175"/>
      <c r="G143" s="1176">
        <f>G142</f>
        <v>0</v>
      </c>
      <c r="H143" s="1175"/>
      <c r="I143" s="1176">
        <f>IF(I147="",I142,ROUNDUP(I147*I142,0))</f>
        <v>0</v>
      </c>
      <c r="J143" s="1175"/>
      <c r="K143" s="269"/>
      <c r="M143" s="1172" t="s">
        <v>744</v>
      </c>
      <c r="N143" s="1173"/>
      <c r="O143" s="1174" t="s">
        <v>105</v>
      </c>
      <c r="P143" s="1175"/>
      <c r="Q143" s="1176">
        <f>Q142</f>
        <v>0</v>
      </c>
      <c r="R143" s="1175"/>
      <c r="S143" s="1176">
        <f>IF(S147="",S142,ROUNDUP(S147*S142,0))</f>
        <v>0</v>
      </c>
      <c r="T143" s="1175"/>
      <c r="U143" s="227"/>
      <c r="W143" s="204"/>
      <c r="X143" s="501"/>
    </row>
    <row r="144" spans="1:24" ht="39.950000000000003" customHeight="1" x14ac:dyDescent="0.25">
      <c r="A144" s="227"/>
      <c r="B144" s="255"/>
      <c r="C144" s="1285" t="s">
        <v>226</v>
      </c>
      <c r="D144" s="1286"/>
      <c r="E144" s="1287">
        <f>IFERROR(E142/SUM(E142:J142),0)</f>
        <v>0</v>
      </c>
      <c r="F144" s="1288"/>
      <c r="G144" s="1267">
        <f>IFERROR(G142/SUM(E142:J142),0)</f>
        <v>0</v>
      </c>
      <c r="H144" s="1268"/>
      <c r="I144" s="1267">
        <f>IFERROR(I142/SUM(E142:J142),0)</f>
        <v>0</v>
      </c>
      <c r="J144" s="1268"/>
      <c r="K144" s="269"/>
      <c r="M144" s="1285" t="s">
        <v>226</v>
      </c>
      <c r="N144" s="1286"/>
      <c r="O144" s="1287">
        <f>IFERROR(O142/SUM(O142:T142),0)</f>
        <v>0</v>
      </c>
      <c r="P144" s="1288"/>
      <c r="Q144" s="1267">
        <f>IFERROR(Q142/SUM(O142:T142),0)</f>
        <v>0</v>
      </c>
      <c r="R144" s="1268"/>
      <c r="S144" s="1267">
        <f>IFERROR(S142/SUM(O142:T142),0)</f>
        <v>0</v>
      </c>
      <c r="T144" s="1268"/>
      <c r="U144" s="227"/>
      <c r="W144" s="204"/>
      <c r="X144" s="501"/>
    </row>
    <row r="145" spans="1:24" ht="39.950000000000003" customHeight="1" x14ac:dyDescent="0.25">
      <c r="A145" s="227"/>
      <c r="B145" s="255"/>
      <c r="C145" s="1226" t="s">
        <v>238</v>
      </c>
      <c r="D145" s="1226"/>
      <c r="E145" s="1226"/>
      <c r="F145" s="1226"/>
      <c r="G145" s="1227"/>
      <c r="H145" s="1228"/>
      <c r="I145" s="1227"/>
      <c r="J145" s="1228"/>
      <c r="K145" s="370" t="s">
        <v>224</v>
      </c>
      <c r="L145" s="703" t="s">
        <v>224</v>
      </c>
      <c r="M145" s="1226" t="s">
        <v>238</v>
      </c>
      <c r="N145" s="1226"/>
      <c r="O145" s="1226"/>
      <c r="P145" s="1226"/>
      <c r="Q145" s="1227"/>
      <c r="R145" s="1228"/>
      <c r="S145" s="1227"/>
      <c r="T145" s="1228"/>
      <c r="U145" s="227"/>
      <c r="W145" s="204"/>
      <c r="X145" s="501"/>
    </row>
    <row r="146" spans="1:24" ht="39.950000000000003" customHeight="1" x14ac:dyDescent="0.25">
      <c r="A146" s="227"/>
      <c r="B146" s="255"/>
      <c r="C146" s="1179" t="s">
        <v>902</v>
      </c>
      <c r="D146" s="1179"/>
      <c r="E146" s="1179"/>
      <c r="F146" s="1179"/>
      <c r="G146" s="1179"/>
      <c r="H146" s="1179"/>
      <c r="I146" s="1224"/>
      <c r="J146" s="1225"/>
      <c r="K146" s="269"/>
      <c r="M146" s="1179" t="s">
        <v>902</v>
      </c>
      <c r="N146" s="1179"/>
      <c r="O146" s="1179"/>
      <c r="P146" s="1179"/>
      <c r="Q146" s="1179"/>
      <c r="R146" s="1179"/>
      <c r="S146" s="1224"/>
      <c r="T146" s="1225"/>
      <c r="U146" s="227"/>
      <c r="W146" s="204"/>
      <c r="X146" s="501"/>
    </row>
    <row r="147" spans="1:24" ht="39.950000000000003" customHeight="1" x14ac:dyDescent="0.25">
      <c r="A147" s="227"/>
      <c r="B147" s="255"/>
      <c r="C147" s="1179" t="s">
        <v>745</v>
      </c>
      <c r="D147" s="1179"/>
      <c r="E147" s="1179"/>
      <c r="F147" s="1179"/>
      <c r="G147" s="1179"/>
      <c r="H147" s="1282"/>
      <c r="I147" s="1177"/>
      <c r="J147" s="1178"/>
      <c r="K147" s="269"/>
      <c r="M147" s="1179" t="s">
        <v>745</v>
      </c>
      <c r="N147" s="1179"/>
      <c r="O147" s="1179"/>
      <c r="P147" s="1179"/>
      <c r="Q147" s="1179"/>
      <c r="R147" s="1179"/>
      <c r="S147" s="1177"/>
      <c r="T147" s="1178"/>
      <c r="U147" s="227"/>
      <c r="W147" s="204"/>
      <c r="X147" s="501"/>
    </row>
    <row r="148" spans="1:24" s="286" customFormat="1" ht="32.1" customHeight="1" x14ac:dyDescent="0.25">
      <c r="A148" s="312"/>
      <c r="B148" s="313"/>
      <c r="C148" s="1281" t="s">
        <v>297</v>
      </c>
      <c r="D148" s="1281"/>
      <c r="E148" s="1281"/>
      <c r="F148" s="1281"/>
      <c r="G148" s="1281"/>
      <c r="H148" s="1281"/>
      <c r="I148" s="1281"/>
      <c r="J148" s="1281"/>
      <c r="K148" s="371"/>
      <c r="M148" s="1229" t="s">
        <v>297</v>
      </c>
      <c r="N148" s="1229"/>
      <c r="O148" s="1229"/>
      <c r="P148" s="1229"/>
      <c r="Q148" s="1229"/>
      <c r="R148" s="1229"/>
      <c r="S148" s="1229"/>
      <c r="T148" s="1229"/>
      <c r="U148" s="312"/>
      <c r="W148" s="316"/>
      <c r="X148" s="526"/>
    </row>
    <row r="149" spans="1:24" s="286" customFormat="1" ht="14.1" customHeight="1" x14ac:dyDescent="0.25">
      <c r="A149" s="312"/>
      <c r="B149" s="313"/>
      <c r="C149" s="881"/>
      <c r="D149" s="881"/>
      <c r="E149" s="881"/>
      <c r="F149" s="881"/>
      <c r="G149" s="881"/>
      <c r="H149" s="881"/>
      <c r="I149" s="881"/>
      <c r="J149" s="881"/>
      <c r="K149" s="371"/>
      <c r="M149" s="881"/>
      <c r="N149" s="881"/>
      <c r="O149" s="881"/>
      <c r="P149" s="881"/>
      <c r="Q149" s="881"/>
      <c r="R149" s="881"/>
      <c r="S149" s="881"/>
      <c r="T149" s="881"/>
      <c r="U149" s="312"/>
      <c r="W149" s="316"/>
      <c r="X149" s="526"/>
    </row>
    <row r="150" spans="1:24" s="286" customFormat="1" ht="51.95" customHeight="1" x14ac:dyDescent="0.25">
      <c r="A150" s="312"/>
      <c r="B150" s="313"/>
      <c r="C150" s="1169" t="str">
        <f>"Der Anteil gesicherter Stellplätze in Sammelschließanlagen/Fahrradparkhaus" &amp; CHAR(10) &amp; "am Baubedarf von " &amp; IF(I134=0,0,TEXT(I134,"#.###")) &amp; " Stellplätzen beträgt mit den oben gemachten Angaben: " &amp; CHAR(10) &amp; IFERROR(ROUND((intern!M64/I134)*100,0),0) &amp; " % (= " &amp; IF(intern!M64=0,0,TEXT(intern!M64,"#.###")) &amp; " Stellplätze)."</f>
        <v>Der Anteil gesicherter Stellplätze in Sammelschließanlagen/Fahrradparkhaus
am Baubedarf von 0 Stellplätzen beträgt mit den oben gemachten Angaben: 
0 % (= 0 Stellplätze).</v>
      </c>
      <c r="D150" s="1170"/>
      <c r="E150" s="1170"/>
      <c r="F150" s="1170"/>
      <c r="G150" s="1170"/>
      <c r="H150" s="1170"/>
      <c r="I150" s="1170"/>
      <c r="J150" s="1171"/>
      <c r="K150" s="371"/>
      <c r="M150" s="1169" t="str">
        <f>"Der Anteil gesicherter Stellplätze in Sammelschließanlagen/Fahrradparkhaus" &amp; CHAR(10) &amp; "am Baubedarf von " &amp; IF(S134=0,0,TEXT(S134,"#.###")) &amp; " Stellplätzen beträgt mit den oben gemachten Angaben: " &amp; CHAR(10) &amp; IFERROR(ROUND((intern!W64/S134)*100,0),0) &amp; " % (= " &amp; IF(intern!W64=0,0,TEXT(intern!W64,"#.###")) &amp; " Stellplätze)."</f>
        <v>Der Anteil gesicherter Stellplätze in Sammelschließanlagen/Fahrradparkhaus
am Baubedarf von 0 Stellplätzen beträgt mit den oben gemachten Angaben: 
0 % (= 0 Stellplätze).</v>
      </c>
      <c r="N150" s="1170"/>
      <c r="O150" s="1170"/>
      <c r="P150" s="1170"/>
      <c r="Q150" s="1170"/>
      <c r="R150" s="1170"/>
      <c r="S150" s="1170"/>
      <c r="T150" s="1171"/>
      <c r="U150" s="312"/>
      <c r="W150" s="316"/>
      <c r="X150" s="526"/>
    </row>
    <row r="151" spans="1:24" ht="14.1" customHeight="1" x14ac:dyDescent="0.25">
      <c r="A151" s="227"/>
      <c r="B151" s="308"/>
      <c r="C151" s="309"/>
      <c r="D151" s="309"/>
      <c r="E151" s="309"/>
      <c r="F151" s="309"/>
      <c r="G151" s="309"/>
      <c r="H151" s="309"/>
      <c r="I151" s="309"/>
      <c r="J151" s="309"/>
      <c r="K151" s="369"/>
      <c r="L151" s="309"/>
      <c r="M151" s="309"/>
      <c r="N151" s="309"/>
      <c r="O151" s="309"/>
      <c r="P151" s="309"/>
      <c r="Q151" s="309"/>
      <c r="R151" s="309"/>
      <c r="S151" s="309"/>
      <c r="T151" s="309"/>
      <c r="U151" s="311"/>
      <c r="W151" s="204"/>
      <c r="X151" s="501"/>
    </row>
    <row r="152" spans="1:24" ht="14.1" customHeight="1" x14ac:dyDescent="0.25">
      <c r="A152" s="227"/>
      <c r="B152" s="255"/>
      <c r="C152" s="372"/>
      <c r="D152" s="372"/>
      <c r="E152" s="372"/>
      <c r="F152" s="372"/>
      <c r="G152" s="372"/>
      <c r="H152" s="372"/>
      <c r="I152" s="372"/>
      <c r="J152" s="372"/>
      <c r="K152" s="373"/>
      <c r="M152" s="372"/>
      <c r="N152" s="372"/>
      <c r="O152" s="372"/>
      <c r="P152" s="372"/>
      <c r="Q152" s="372"/>
      <c r="R152" s="374"/>
      <c r="S152" s="374"/>
      <c r="T152" s="374"/>
      <c r="U152" s="227"/>
      <c r="W152" s="204"/>
      <c r="X152" s="501"/>
    </row>
    <row r="153" spans="1:24" ht="24" customHeight="1" x14ac:dyDescent="0.25">
      <c r="A153" s="227"/>
      <c r="B153" s="255"/>
      <c r="C153" s="1230" t="s">
        <v>731</v>
      </c>
      <c r="D153" s="1231"/>
      <c r="E153" s="1232"/>
      <c r="F153" s="364"/>
      <c r="G153" s="237"/>
      <c r="H153" s="870" t="s">
        <v>15</v>
      </c>
      <c r="I153" s="871"/>
      <c r="J153" s="860"/>
      <c r="K153" s="269"/>
      <c r="M153" s="1230" t="s">
        <v>731</v>
      </c>
      <c r="N153" s="1231"/>
      <c r="O153" s="1232"/>
      <c r="P153" s="364"/>
      <c r="Q153" s="237"/>
      <c r="R153" s="864" t="s">
        <v>15</v>
      </c>
      <c r="S153" s="865"/>
      <c r="T153" s="863"/>
      <c r="U153" s="227"/>
      <c r="W153" s="204"/>
      <c r="X153" s="501"/>
    </row>
    <row r="154" spans="1:24" ht="24" customHeight="1" x14ac:dyDescent="0.25">
      <c r="A154" s="227"/>
      <c r="B154" s="255"/>
      <c r="C154" s="1233"/>
      <c r="D154" s="1234"/>
      <c r="E154" s="1235"/>
      <c r="F154" s="375"/>
      <c r="G154" s="866" t="s">
        <v>118</v>
      </c>
      <c r="H154" s="867"/>
      <c r="I154" s="861"/>
      <c r="J154" s="376"/>
      <c r="K154" s="269"/>
      <c r="M154" s="1233"/>
      <c r="N154" s="1234"/>
      <c r="O154" s="1235"/>
      <c r="P154" s="375"/>
      <c r="Q154" s="866" t="s">
        <v>118</v>
      </c>
      <c r="R154" s="867"/>
      <c r="S154" s="861"/>
      <c r="T154" s="376"/>
      <c r="U154" s="227"/>
      <c r="W154" s="204"/>
      <c r="X154" s="501"/>
    </row>
    <row r="155" spans="1:24" ht="24" customHeight="1" x14ac:dyDescent="0.25">
      <c r="A155" s="227"/>
      <c r="B155" s="255"/>
      <c r="C155" s="1236"/>
      <c r="D155" s="1237"/>
      <c r="E155" s="1238"/>
      <c r="F155" s="868" t="s">
        <v>151</v>
      </c>
      <c r="G155" s="869"/>
      <c r="H155" s="862"/>
      <c r="I155" s="377"/>
      <c r="J155" s="376"/>
      <c r="K155" s="269"/>
      <c r="M155" s="1236"/>
      <c r="N155" s="1237"/>
      <c r="O155" s="1238"/>
      <c r="P155" s="868" t="s">
        <v>151</v>
      </c>
      <c r="Q155" s="869"/>
      <c r="R155" s="862"/>
      <c r="S155" s="377"/>
      <c r="T155" s="376"/>
      <c r="U155" s="227"/>
      <c r="W155" s="204"/>
      <c r="X155" s="501"/>
    </row>
    <row r="156" spans="1:24" ht="21" customHeight="1" x14ac:dyDescent="0.25">
      <c r="A156" s="227"/>
      <c r="B156" s="255"/>
      <c r="C156" s="1274" t="s">
        <v>133</v>
      </c>
      <c r="D156" s="1275"/>
      <c r="E156" s="1275"/>
      <c r="F156" s="1276"/>
      <c r="G156" s="1276"/>
      <c r="H156" s="378">
        <f>E142</f>
        <v>0</v>
      </c>
      <c r="I156" s="379">
        <f>G142</f>
        <v>0</v>
      </c>
      <c r="J156" s="380">
        <f>I142</f>
        <v>0</v>
      </c>
      <c r="K156" s="269"/>
      <c r="M156" s="1274" t="s">
        <v>133</v>
      </c>
      <c r="N156" s="1275"/>
      <c r="O156" s="1275"/>
      <c r="P156" s="1276"/>
      <c r="Q156" s="1276"/>
      <c r="R156" s="378">
        <f>O142</f>
        <v>0</v>
      </c>
      <c r="S156" s="379">
        <f>Q142</f>
        <v>0</v>
      </c>
      <c r="T156" s="380">
        <f>S142</f>
        <v>0</v>
      </c>
      <c r="U156" s="227"/>
      <c r="W156" s="204"/>
      <c r="X156" s="501"/>
    </row>
    <row r="157" spans="1:24" ht="21" customHeight="1" x14ac:dyDescent="0.25">
      <c r="A157" s="227"/>
      <c r="B157" s="255"/>
      <c r="C157" s="1277" t="s">
        <v>121</v>
      </c>
      <c r="D157" s="1278"/>
      <c r="E157" s="1278"/>
      <c r="F157" s="1278"/>
      <c r="G157" s="1278"/>
      <c r="H157" s="381">
        <f>SUM(H159:H162,H164:H168)</f>
        <v>0</v>
      </c>
      <c r="I157" s="382">
        <f>SUM(I159:I163)</f>
        <v>0</v>
      </c>
      <c r="J157" s="383">
        <f>SUM(J159:J162)</f>
        <v>0</v>
      </c>
      <c r="K157" s="269"/>
      <c r="M157" s="1277" t="s">
        <v>121</v>
      </c>
      <c r="N157" s="1278"/>
      <c r="O157" s="1278"/>
      <c r="P157" s="1278"/>
      <c r="Q157" s="1278"/>
      <c r="R157" s="381">
        <f>SUM(R159:R162,R164:R168)</f>
        <v>0</v>
      </c>
      <c r="S157" s="382">
        <f>SUM(S159:S163)</f>
        <v>0</v>
      </c>
      <c r="T157" s="383">
        <f>SUM(T159:T162)</f>
        <v>0</v>
      </c>
      <c r="U157" s="227"/>
      <c r="W157" s="204"/>
      <c r="X157" s="501"/>
    </row>
    <row r="158" spans="1:24" ht="21" customHeight="1" x14ac:dyDescent="0.25">
      <c r="A158" s="227"/>
      <c r="B158" s="255"/>
      <c r="C158" s="1279" t="s">
        <v>132</v>
      </c>
      <c r="D158" s="1280"/>
      <c r="E158" s="1280"/>
      <c r="F158" s="1280"/>
      <c r="G158" s="1280"/>
      <c r="H158" s="384">
        <f>H156-H157</f>
        <v>0</v>
      </c>
      <c r="I158" s="384">
        <f t="shared" ref="I158:J158" si="8">I156-I157</f>
        <v>0</v>
      </c>
      <c r="J158" s="384">
        <f t="shared" si="8"/>
        <v>0</v>
      </c>
      <c r="K158" s="269"/>
      <c r="M158" s="1279" t="s">
        <v>132</v>
      </c>
      <c r="N158" s="1280"/>
      <c r="O158" s="1280"/>
      <c r="P158" s="1280"/>
      <c r="Q158" s="1280"/>
      <c r="R158" s="384">
        <f>R156-R157</f>
        <v>0</v>
      </c>
      <c r="S158" s="384">
        <f t="shared" ref="S158:T158" si="9">S156-S157</f>
        <v>0</v>
      </c>
      <c r="T158" s="384">
        <f t="shared" si="9"/>
        <v>0</v>
      </c>
      <c r="U158" s="227"/>
      <c r="W158" s="204"/>
      <c r="X158" s="501"/>
    </row>
    <row r="159" spans="1:24" ht="21" customHeight="1" x14ac:dyDescent="0.25">
      <c r="A159" s="227"/>
      <c r="B159" s="255"/>
      <c r="C159" s="1240" t="s">
        <v>5</v>
      </c>
      <c r="D159" s="1241"/>
      <c r="E159" s="1242"/>
      <c r="F159" s="1203" t="s">
        <v>727</v>
      </c>
      <c r="G159" s="1204"/>
      <c r="H159" s="385"/>
      <c r="I159" s="385"/>
      <c r="J159" s="385"/>
      <c r="K159" s="269"/>
      <c r="M159" s="1253" t="s">
        <v>5</v>
      </c>
      <c r="N159" s="1254"/>
      <c r="O159" s="1255"/>
      <c r="P159" s="1215" t="s">
        <v>727</v>
      </c>
      <c r="Q159" s="1204"/>
      <c r="R159" s="385"/>
      <c r="S159" s="385"/>
      <c r="T159" s="385"/>
      <c r="U159" s="227"/>
      <c r="W159" s="204"/>
      <c r="X159" s="501"/>
    </row>
    <row r="160" spans="1:24" ht="21" customHeight="1" x14ac:dyDescent="0.25">
      <c r="A160" s="227"/>
      <c r="B160" s="255"/>
      <c r="C160" s="1243" t="s">
        <v>299</v>
      </c>
      <c r="D160" s="1244"/>
      <c r="E160" s="1245"/>
      <c r="F160" s="1205"/>
      <c r="G160" s="1206"/>
      <c r="H160" s="386"/>
      <c r="I160" s="386"/>
      <c r="J160" s="386"/>
      <c r="K160" s="269"/>
      <c r="M160" s="1243" t="s">
        <v>299</v>
      </c>
      <c r="N160" s="1244"/>
      <c r="O160" s="1256"/>
      <c r="P160" s="1216"/>
      <c r="Q160" s="1206"/>
      <c r="R160" s="386"/>
      <c r="S160" s="386"/>
      <c r="T160" s="386"/>
      <c r="U160" s="227"/>
      <c r="W160" s="204"/>
      <c r="X160" s="501"/>
    </row>
    <row r="161" spans="1:24" ht="21" customHeight="1" x14ac:dyDescent="0.25">
      <c r="A161" s="227"/>
      <c r="B161" s="255"/>
      <c r="C161" s="1246" t="s">
        <v>120</v>
      </c>
      <c r="D161" s="1247"/>
      <c r="E161" s="1248"/>
      <c r="F161" s="1205"/>
      <c r="G161" s="1206"/>
      <c r="H161" s="850"/>
      <c r="I161" s="386"/>
      <c r="J161" s="386"/>
      <c r="K161" s="269"/>
      <c r="M161" s="1246" t="s">
        <v>120</v>
      </c>
      <c r="N161" s="1247"/>
      <c r="O161" s="1248"/>
      <c r="P161" s="1216"/>
      <c r="Q161" s="1206"/>
      <c r="R161" s="850"/>
      <c r="S161" s="850"/>
      <c r="T161" s="850"/>
      <c r="U161" s="227"/>
      <c r="W161" s="204"/>
      <c r="X161" s="501"/>
    </row>
    <row r="162" spans="1:24" ht="21" customHeight="1" x14ac:dyDescent="0.25">
      <c r="A162" s="227"/>
      <c r="B162" s="255"/>
      <c r="C162" s="1209" t="s">
        <v>729</v>
      </c>
      <c r="D162" s="1210"/>
      <c r="E162" s="1211"/>
      <c r="F162" s="1207"/>
      <c r="G162" s="1208"/>
      <c r="H162" s="387"/>
      <c r="I162" s="846"/>
      <c r="J162" s="846"/>
      <c r="K162" s="269"/>
      <c r="M162" s="1212" t="s">
        <v>729</v>
      </c>
      <c r="N162" s="1213"/>
      <c r="O162" s="1214"/>
      <c r="P162" s="1217"/>
      <c r="Q162" s="1208"/>
      <c r="R162" s="387"/>
      <c r="S162" s="387"/>
      <c r="T162" s="387"/>
      <c r="U162" s="227"/>
      <c r="W162" s="204"/>
      <c r="X162" s="501"/>
    </row>
    <row r="163" spans="1:24" ht="21" customHeight="1" x14ac:dyDescent="0.25">
      <c r="A163" s="227"/>
      <c r="B163" s="255"/>
      <c r="C163" s="1221" t="s">
        <v>228</v>
      </c>
      <c r="D163" s="1221"/>
      <c r="E163" s="1221"/>
      <c r="F163" s="1221"/>
      <c r="G163" s="1222"/>
      <c r="H163" s="388" t="s">
        <v>105</v>
      </c>
      <c r="I163" s="389"/>
      <c r="J163" s="388" t="s">
        <v>105</v>
      </c>
      <c r="K163" s="269"/>
      <c r="M163" s="1221" t="s">
        <v>228</v>
      </c>
      <c r="N163" s="1221"/>
      <c r="O163" s="1221"/>
      <c r="P163" s="1221"/>
      <c r="Q163" s="1222"/>
      <c r="R163" s="388" t="s">
        <v>105</v>
      </c>
      <c r="S163" s="389"/>
      <c r="T163" s="388" t="s">
        <v>105</v>
      </c>
      <c r="U163" s="227"/>
      <c r="W163" s="204"/>
      <c r="X163" s="501"/>
    </row>
    <row r="164" spans="1:24" ht="21" customHeight="1" x14ac:dyDescent="0.25">
      <c r="A164" s="227"/>
      <c r="B164" s="255"/>
      <c r="C164" s="1249" t="s">
        <v>5</v>
      </c>
      <c r="D164" s="1250"/>
      <c r="E164" s="1251"/>
      <c r="F164" s="1215" t="s">
        <v>152</v>
      </c>
      <c r="G164" s="1204"/>
      <c r="H164" s="385"/>
      <c r="I164" s="1197" t="s">
        <v>719</v>
      </c>
      <c r="J164" s="1198"/>
      <c r="K164" s="269"/>
      <c r="M164" s="1249" t="s">
        <v>5</v>
      </c>
      <c r="N164" s="1250"/>
      <c r="O164" s="1251"/>
      <c r="P164" s="1215" t="s">
        <v>152</v>
      </c>
      <c r="Q164" s="1204"/>
      <c r="R164" s="385"/>
      <c r="S164" s="1197" t="s">
        <v>719</v>
      </c>
      <c r="T164" s="1198"/>
      <c r="U164" s="227"/>
      <c r="W164" s="204"/>
      <c r="X164" s="501"/>
    </row>
    <row r="165" spans="1:24" ht="21" customHeight="1" x14ac:dyDescent="0.25">
      <c r="A165" s="227"/>
      <c r="B165" s="255"/>
      <c r="C165" s="1246" t="s">
        <v>299</v>
      </c>
      <c r="D165" s="1247"/>
      <c r="E165" s="1252"/>
      <c r="F165" s="1216"/>
      <c r="G165" s="1206"/>
      <c r="H165" s="386"/>
      <c r="I165" s="1199"/>
      <c r="J165" s="1200"/>
      <c r="K165" s="269"/>
      <c r="M165" s="1246" t="s">
        <v>299</v>
      </c>
      <c r="N165" s="1247"/>
      <c r="O165" s="1252"/>
      <c r="P165" s="1216"/>
      <c r="Q165" s="1206"/>
      <c r="R165" s="386"/>
      <c r="S165" s="1199"/>
      <c r="T165" s="1200"/>
      <c r="U165" s="227"/>
      <c r="W165" s="204"/>
      <c r="X165" s="501"/>
    </row>
    <row r="166" spans="1:24" ht="21" customHeight="1" x14ac:dyDescent="0.25">
      <c r="A166" s="227"/>
      <c r="B166" s="255"/>
      <c r="C166" s="1253" t="s">
        <v>120</v>
      </c>
      <c r="D166" s="1254"/>
      <c r="E166" s="1255"/>
      <c r="F166" s="1216"/>
      <c r="G166" s="1206"/>
      <c r="H166" s="850"/>
      <c r="I166" s="1199"/>
      <c r="J166" s="1200"/>
      <c r="K166" s="269"/>
      <c r="M166" s="1253" t="s">
        <v>120</v>
      </c>
      <c r="N166" s="1254"/>
      <c r="O166" s="1255"/>
      <c r="P166" s="1216"/>
      <c r="Q166" s="1206"/>
      <c r="R166" s="850"/>
      <c r="S166" s="1199"/>
      <c r="T166" s="1200"/>
      <c r="U166" s="227"/>
      <c r="W166" s="204"/>
      <c r="X166" s="501"/>
    </row>
    <row r="167" spans="1:24" ht="21" customHeight="1" x14ac:dyDescent="0.25">
      <c r="A167" s="227"/>
      <c r="B167" s="255"/>
      <c r="C167" s="1218" t="s">
        <v>718</v>
      </c>
      <c r="D167" s="1219"/>
      <c r="E167" s="1220"/>
      <c r="F167" s="1217"/>
      <c r="G167" s="1208"/>
      <c r="H167" s="387"/>
      <c r="I167" s="1201"/>
      <c r="J167" s="1202"/>
      <c r="K167" s="269"/>
      <c r="M167" s="1218" t="s">
        <v>718</v>
      </c>
      <c r="N167" s="1219"/>
      <c r="O167" s="1220"/>
      <c r="P167" s="1217"/>
      <c r="Q167" s="1208"/>
      <c r="R167" s="387"/>
      <c r="S167" s="1201"/>
      <c r="T167" s="1202"/>
      <c r="U167" s="227"/>
      <c r="W167" s="204"/>
      <c r="X167" s="501"/>
    </row>
    <row r="168" spans="1:24" ht="21" customHeight="1" x14ac:dyDescent="0.25">
      <c r="A168" s="227"/>
      <c r="B168" s="255"/>
      <c r="C168" s="1222" t="s">
        <v>295</v>
      </c>
      <c r="D168" s="1239"/>
      <c r="E168" s="1239"/>
      <c r="F168" s="1239"/>
      <c r="G168" s="1239"/>
      <c r="H168" s="389"/>
      <c r="I168" s="795" t="s">
        <v>154</v>
      </c>
      <c r="J168" s="796"/>
      <c r="K168" s="269"/>
      <c r="M168" s="1222" t="s">
        <v>295</v>
      </c>
      <c r="N168" s="1239"/>
      <c r="O168" s="1239"/>
      <c r="P168" s="1239"/>
      <c r="Q168" s="1239"/>
      <c r="R168" s="389"/>
      <c r="S168" s="795" t="s">
        <v>154</v>
      </c>
      <c r="T168" s="796"/>
      <c r="U168" s="227"/>
      <c r="W168" s="204"/>
      <c r="X168" s="501"/>
    </row>
    <row r="169" spans="1:24" ht="18" customHeight="1" x14ac:dyDescent="0.25">
      <c r="A169" s="227"/>
      <c r="B169" s="255"/>
      <c r="C169" s="390"/>
      <c r="J169" s="704" t="s">
        <v>227</v>
      </c>
      <c r="K169" s="269"/>
      <c r="M169" s="390"/>
      <c r="T169" s="704" t="s">
        <v>227</v>
      </c>
      <c r="U169" s="227"/>
      <c r="W169" s="204"/>
      <c r="X169" s="501"/>
    </row>
    <row r="170" spans="1:24" ht="14.1" customHeight="1" x14ac:dyDescent="0.2">
      <c r="A170" s="227"/>
      <c r="B170" s="255"/>
      <c r="C170" s="390"/>
      <c r="J170" s="705" t="s">
        <v>296</v>
      </c>
      <c r="K170" s="269"/>
      <c r="M170" s="390"/>
      <c r="T170" s="705" t="s">
        <v>296</v>
      </c>
      <c r="U170" s="227"/>
      <c r="W170" s="204"/>
      <c r="X170" s="501"/>
    </row>
    <row r="171" spans="1:24" ht="18" customHeight="1" x14ac:dyDescent="0.25">
      <c r="A171" s="227"/>
      <c r="B171" s="255"/>
      <c r="F171" s="261"/>
      <c r="J171" s="406" t="s">
        <v>747</v>
      </c>
      <c r="K171" s="269"/>
      <c r="T171" s="406" t="s">
        <v>747</v>
      </c>
      <c r="U171" s="227"/>
      <c r="W171" s="204"/>
      <c r="X171" s="501"/>
    </row>
    <row r="172" spans="1:24" ht="14.1" customHeight="1" thickBot="1" x14ac:dyDescent="0.3">
      <c r="A172" s="227"/>
      <c r="B172" s="256"/>
      <c r="C172" s="240"/>
      <c r="D172" s="240"/>
      <c r="E172" s="240"/>
      <c r="F172" s="240"/>
      <c r="G172" s="240"/>
      <c r="H172" s="240"/>
      <c r="I172" s="240"/>
      <c r="J172" s="405"/>
      <c r="K172" s="240"/>
      <c r="L172" s="240"/>
      <c r="M172" s="240"/>
      <c r="N172" s="240"/>
      <c r="O172" s="240"/>
      <c r="P172" s="240"/>
      <c r="Q172" s="240"/>
      <c r="R172" s="240"/>
      <c r="S172" s="240"/>
      <c r="T172" s="405"/>
      <c r="U172" s="241"/>
      <c r="V172" s="255"/>
      <c r="W172" s="204"/>
      <c r="X172" s="501"/>
    </row>
    <row r="173" spans="1:24" ht="24" customHeight="1" x14ac:dyDescent="0.25"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W173" s="204"/>
      <c r="X173" s="501"/>
    </row>
    <row r="174" spans="1:24" ht="14.1" customHeight="1" x14ac:dyDescent="0.25">
      <c r="B174" s="392"/>
      <c r="C174" s="392"/>
      <c r="D174" s="1223" t="str">
        <f>IF(
AND(VA_FEHLERMODUL=0,VA_FEHLER_AB=0,VA_FEHLER_CD=0),"Ihre Daten können nun in die Kostenanalyse in Teil D übernommen werden.",IF(
AND(VA_FEHLERMODUL=0,VA_FEHLER_AB=0,VA_FEHLER_CD=1),"Bitte prüfen Sie oben die Zuordnung/Verteilung der Stellplätze. Für die Kostenanalyse in Teil D sind noch nicht alle Stellplätze korrekt zugeordnet/verteilt.",
"Bitte prüfen Sie Ihre Eingaben. Für die Kostenanalyse in Teil D sind noch nicht alle Daten korrekt eingegeben."))</f>
        <v>Bitte prüfen Sie Ihre Eingaben. Für die Kostenanalyse in Teil D sind noch nicht alle Daten korrekt eingegeben.</v>
      </c>
      <c r="E174" s="1223"/>
      <c r="F174" s="1223"/>
      <c r="G174" s="1223"/>
      <c r="H174" s="1223"/>
      <c r="I174" s="1223"/>
      <c r="J174" s="1223"/>
      <c r="K174" s="1223"/>
      <c r="L174" s="1223"/>
      <c r="M174" s="1223"/>
      <c r="N174" s="1223"/>
      <c r="O174" s="1223"/>
      <c r="P174" s="1223"/>
      <c r="Q174" s="1223"/>
      <c r="R174" s="1223"/>
      <c r="S174" s="1223"/>
      <c r="T174" s="392"/>
      <c r="U174" s="392"/>
      <c r="W174" s="204"/>
      <c r="X174" s="501"/>
    </row>
    <row r="175" spans="1:24" ht="14.1" customHeight="1" x14ac:dyDescent="0.25"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W175" s="204"/>
      <c r="X175" s="501"/>
    </row>
    <row r="176" spans="1:24" ht="24" customHeight="1" x14ac:dyDescent="0.25">
      <c r="W176" s="204"/>
      <c r="X176" s="501"/>
    </row>
    <row r="177" spans="1:24" ht="14.1" customHeight="1" x14ac:dyDescent="0.25">
      <c r="W177" s="204"/>
      <c r="X177" s="501"/>
    </row>
    <row r="178" spans="1:24" ht="5.0999999999999996" customHeight="1" x14ac:dyDescent="0.25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501"/>
    </row>
    <row r="179" spans="1:24" ht="45" customHeight="1" x14ac:dyDescent="0.25">
      <c r="A179" s="501"/>
      <c r="B179" s="501"/>
      <c r="C179" s="501"/>
      <c r="D179" s="501"/>
      <c r="E179" s="501"/>
      <c r="F179" s="1014" t="s">
        <v>713</v>
      </c>
      <c r="G179" s="1014"/>
      <c r="H179" s="1014"/>
      <c r="I179" s="1014"/>
      <c r="J179" s="1014"/>
      <c r="K179" s="1014"/>
      <c r="L179" s="1014"/>
      <c r="M179" s="1014"/>
      <c r="N179" s="1014"/>
      <c r="O179" s="1014"/>
      <c r="P179" s="1014"/>
      <c r="Q179" s="1014"/>
      <c r="R179" s="1014"/>
      <c r="S179" s="501"/>
      <c r="T179" s="501"/>
      <c r="U179" s="501"/>
      <c r="V179" s="501"/>
      <c r="W179" s="501"/>
      <c r="X179" s="501"/>
    </row>
    <row r="180" spans="1:24" s="302" customFormat="1" ht="26.25" customHeight="1" x14ac:dyDescent="0.25"/>
    <row r="182" spans="1:24" ht="18" customHeight="1" x14ac:dyDescent="0.25">
      <c r="A182" s="502"/>
    </row>
  </sheetData>
  <sheetProtection algorithmName="SHA-512" hashValue="20Arf4fBJYO5PGSxLW5jBowoWFgBQV7EWZ/8YspVu9D4mHv+92M3iQtEvx51W/am0Yc2yjoqVV3sjbkgy1qrgw==" saltValue="34rLXRPGPKoni/oD5gEMaw==" spinCount="100000" sheet="1" objects="1" scenarios="1"/>
  <mergeCells count="200">
    <mergeCell ref="F179:R179"/>
    <mergeCell ref="C127:G127"/>
    <mergeCell ref="N89:O89"/>
    <mergeCell ref="N91:O91"/>
    <mergeCell ref="N94:O94"/>
    <mergeCell ref="N96:O96"/>
    <mergeCell ref="R98:S98"/>
    <mergeCell ref="N98:O98"/>
    <mergeCell ref="C132:J132"/>
    <mergeCell ref="G145:H145"/>
    <mergeCell ref="I145:J145"/>
    <mergeCell ref="C145:F145"/>
    <mergeCell ref="M144:N144"/>
    <mergeCell ref="O144:P144"/>
    <mergeCell ref="C144:D144"/>
    <mergeCell ref="E144:F144"/>
    <mergeCell ref="G144:H144"/>
    <mergeCell ref="M142:N142"/>
    <mergeCell ref="O142:P142"/>
    <mergeCell ref="S141:T141"/>
    <mergeCell ref="Q144:R144"/>
    <mergeCell ref="Q140:T140"/>
    <mergeCell ref="S134:T134"/>
    <mergeCell ref="S136:T136"/>
    <mergeCell ref="I134:J134"/>
    <mergeCell ref="I136:J136"/>
    <mergeCell ref="I138:J138"/>
    <mergeCell ref="G140:J140"/>
    <mergeCell ref="C156:G156"/>
    <mergeCell ref="C157:G157"/>
    <mergeCell ref="C158:G158"/>
    <mergeCell ref="M158:Q158"/>
    <mergeCell ref="M156:Q156"/>
    <mergeCell ref="M157:Q157"/>
    <mergeCell ref="C148:J148"/>
    <mergeCell ref="C146:H146"/>
    <mergeCell ref="Q141:R141"/>
    <mergeCell ref="I144:J144"/>
    <mergeCell ref="I146:J146"/>
    <mergeCell ref="M141:N141"/>
    <mergeCell ref="O141:P141"/>
    <mergeCell ref="C147:H147"/>
    <mergeCell ref="I147:J147"/>
    <mergeCell ref="C142:D142"/>
    <mergeCell ref="E142:F142"/>
    <mergeCell ref="G142:H142"/>
    <mergeCell ref="I142:J142"/>
    <mergeCell ref="C150:J150"/>
    <mergeCell ref="R42:S42"/>
    <mergeCell ref="R44:S44"/>
    <mergeCell ref="R46:S46"/>
    <mergeCell ref="R49:S49"/>
    <mergeCell ref="R51:S51"/>
    <mergeCell ref="R56:S56"/>
    <mergeCell ref="R64:S64"/>
    <mergeCell ref="R66:S66"/>
    <mergeCell ref="S144:T144"/>
    <mergeCell ref="R96:S96"/>
    <mergeCell ref="R68:S68"/>
    <mergeCell ref="R72:S72"/>
    <mergeCell ref="R74:S74"/>
    <mergeCell ref="R54:S54"/>
    <mergeCell ref="R76:S76"/>
    <mergeCell ref="R87:S87"/>
    <mergeCell ref="R89:S89"/>
    <mergeCell ref="R91:S91"/>
    <mergeCell ref="R94:S94"/>
    <mergeCell ref="Q142:R142"/>
    <mergeCell ref="S142:T142"/>
    <mergeCell ref="R83:S83"/>
    <mergeCell ref="S138:T138"/>
    <mergeCell ref="M132:T132"/>
    <mergeCell ref="C8:J8"/>
    <mergeCell ref="M16:N20"/>
    <mergeCell ref="O16:Q16"/>
    <mergeCell ref="O17:Q17"/>
    <mergeCell ref="O18:Q18"/>
    <mergeCell ref="O20:Q20"/>
    <mergeCell ref="E15:G15"/>
    <mergeCell ref="E16:G16"/>
    <mergeCell ref="E17:G17"/>
    <mergeCell ref="E18:G18"/>
    <mergeCell ref="E20:G20"/>
    <mergeCell ref="C10:D10"/>
    <mergeCell ref="O19:Q19"/>
    <mergeCell ref="M8:T8"/>
    <mergeCell ref="M10:N10"/>
    <mergeCell ref="M11:N15"/>
    <mergeCell ref="O11:Q11"/>
    <mergeCell ref="O12:Q12"/>
    <mergeCell ref="O13:Q13"/>
    <mergeCell ref="O15:Q15"/>
    <mergeCell ref="O14:Q14"/>
    <mergeCell ref="E12:G12"/>
    <mergeCell ref="E13:G13"/>
    <mergeCell ref="E11:G11"/>
    <mergeCell ref="N87:O87"/>
    <mergeCell ref="N54:O54"/>
    <mergeCell ref="N56:O56"/>
    <mergeCell ref="N64:O64"/>
    <mergeCell ref="N66:O66"/>
    <mergeCell ref="N68:O68"/>
    <mergeCell ref="E28:G28"/>
    <mergeCell ref="E29:G29"/>
    <mergeCell ref="N42:O42"/>
    <mergeCell ref="N44:O44"/>
    <mergeCell ref="N46:O46"/>
    <mergeCell ref="N49:O49"/>
    <mergeCell ref="N72:O72"/>
    <mergeCell ref="N74:O74"/>
    <mergeCell ref="C37:G37"/>
    <mergeCell ref="C38:G38"/>
    <mergeCell ref="E30:G30"/>
    <mergeCell ref="E31:G31"/>
    <mergeCell ref="E32:G32"/>
    <mergeCell ref="N83:O83"/>
    <mergeCell ref="N76:O76"/>
    <mergeCell ref="A1:B1"/>
    <mergeCell ref="R1:T1"/>
    <mergeCell ref="E141:F141"/>
    <mergeCell ref="G141:H141"/>
    <mergeCell ref="I141:J141"/>
    <mergeCell ref="C141:D141"/>
    <mergeCell ref="M28:N32"/>
    <mergeCell ref="O28:Q28"/>
    <mergeCell ref="O29:Q29"/>
    <mergeCell ref="O30:Q30"/>
    <mergeCell ref="O31:Q31"/>
    <mergeCell ref="O32:Q32"/>
    <mergeCell ref="O22:Q22"/>
    <mergeCell ref="O24:Q24"/>
    <mergeCell ref="M25:N27"/>
    <mergeCell ref="O25:Q25"/>
    <mergeCell ref="O27:Q27"/>
    <mergeCell ref="O23:Q23"/>
    <mergeCell ref="C25:D27"/>
    <mergeCell ref="C11:D15"/>
    <mergeCell ref="C16:D20"/>
    <mergeCell ref="E21:G21"/>
    <mergeCell ref="E27:G27"/>
    <mergeCell ref="E22:G22"/>
    <mergeCell ref="D174:S174"/>
    <mergeCell ref="S146:T146"/>
    <mergeCell ref="M145:P145"/>
    <mergeCell ref="Q145:R145"/>
    <mergeCell ref="S145:T145"/>
    <mergeCell ref="M146:R146"/>
    <mergeCell ref="M148:T148"/>
    <mergeCell ref="C153:E155"/>
    <mergeCell ref="M168:Q168"/>
    <mergeCell ref="C168:G168"/>
    <mergeCell ref="C159:E159"/>
    <mergeCell ref="C160:E160"/>
    <mergeCell ref="C161:E161"/>
    <mergeCell ref="C164:E164"/>
    <mergeCell ref="C165:E165"/>
    <mergeCell ref="C166:E166"/>
    <mergeCell ref="C163:G163"/>
    <mergeCell ref="M164:O164"/>
    <mergeCell ref="M165:O165"/>
    <mergeCell ref="M166:O166"/>
    <mergeCell ref="M153:O155"/>
    <mergeCell ref="M159:O159"/>
    <mergeCell ref="M160:O160"/>
    <mergeCell ref="M161:O161"/>
    <mergeCell ref="S164:T167"/>
    <mergeCell ref="F159:G162"/>
    <mergeCell ref="C162:E162"/>
    <mergeCell ref="M162:O162"/>
    <mergeCell ref="P159:Q162"/>
    <mergeCell ref="C167:E167"/>
    <mergeCell ref="M167:O167"/>
    <mergeCell ref="F164:G167"/>
    <mergeCell ref="P164:Q167"/>
    <mergeCell ref="I164:J167"/>
    <mergeCell ref="M163:Q163"/>
    <mergeCell ref="Y1:AA1"/>
    <mergeCell ref="M150:T150"/>
    <mergeCell ref="C143:D143"/>
    <mergeCell ref="M143:N143"/>
    <mergeCell ref="E143:F143"/>
    <mergeCell ref="G143:H143"/>
    <mergeCell ref="I143:J143"/>
    <mergeCell ref="O143:P143"/>
    <mergeCell ref="Q143:R143"/>
    <mergeCell ref="S143:T143"/>
    <mergeCell ref="S147:T147"/>
    <mergeCell ref="M147:R147"/>
    <mergeCell ref="O26:Q26"/>
    <mergeCell ref="M21:N24"/>
    <mergeCell ref="N51:O51"/>
    <mergeCell ref="O21:Q21"/>
    <mergeCell ref="C21:D24"/>
    <mergeCell ref="C28:D32"/>
    <mergeCell ref="E14:G14"/>
    <mergeCell ref="E19:G19"/>
    <mergeCell ref="E23:G23"/>
    <mergeCell ref="E26:G26"/>
    <mergeCell ref="E24:G24"/>
    <mergeCell ref="E25:G25"/>
  </mergeCells>
  <conditionalFormatting sqref="A1:Q1">
    <cfRule type="expression" dxfId="75" priority="6">
      <formula>OR(VA_FEHLER_AB&gt;0,VA_FEHLER_C&gt;0,VA_FEHLER_D&gt;0)</formula>
    </cfRule>
  </conditionalFormatting>
  <conditionalFormatting sqref="B174:U174">
    <cfRule type="expression" dxfId="74" priority="16">
      <formula>AND(VA_FEHLERMODUL=0,VA_FEHLER_AB=0,VA_FEHLER_CD=0)</formula>
    </cfRule>
  </conditionalFormatting>
  <conditionalFormatting sqref="C6">
    <cfRule type="expression" dxfId="73" priority="89">
      <formula>OR(VA_FEHLERMODUL&gt;0,VA_FEHLER_AB&gt;0)</formula>
    </cfRule>
  </conditionalFormatting>
  <conditionalFormatting sqref="C40:C98">
    <cfRule type="expression" dxfId="72" priority="37">
      <formula>OR(VA_FEHLERMODUL&gt;0,VA_FEHLER_AB&gt;0)</formula>
    </cfRule>
  </conditionalFormatting>
  <conditionalFormatting sqref="C62">
    <cfRule type="expression" dxfId="71" priority="30">
      <formula>VA_TFAUSWAHL&lt;&gt;3</formula>
    </cfRule>
  </conditionalFormatting>
  <conditionalFormatting sqref="C79:C83">
    <cfRule type="expression" dxfId="70" priority="28">
      <formula>VP_5_ERSTMALIGSICHER=0</formula>
    </cfRule>
  </conditionalFormatting>
  <conditionalFormatting sqref="C157 M157">
    <cfRule type="expression" dxfId="69" priority="8">
      <formula>OR(VA_FEHLERMODUL&gt;0,VA_FEHLER_AB&gt;0)</formula>
    </cfRule>
  </conditionalFormatting>
  <conditionalFormatting sqref="C38:G38">
    <cfRule type="expression" dxfId="68" priority="36">
      <formula>OR(VA_BESTANDSEINGABE&lt;2,VA_FEHLER_AB&gt;0,VA_FEHLERMODUL&gt;0)</formula>
    </cfRule>
    <cfRule type="expression" dxfId="67" priority="31">
      <formula>AND(VA_BESTANDSEINGABE=2,VA_FEHLERMODUL&gt;0)</formula>
    </cfRule>
  </conditionalFormatting>
  <conditionalFormatting sqref="C10:J32 M10:T32">
    <cfRule type="expression" dxfId="66" priority="88">
      <formula>OR(VA_FEHLERMODUL&gt;0,VA_FEHLER_AB&gt;0)</formula>
    </cfRule>
  </conditionalFormatting>
  <conditionalFormatting sqref="C141:J150 M141:T150 C153:J171 M153:T171">
    <cfRule type="expression" dxfId="65" priority="73">
      <formula>OR(VA_FEHLERMODUL&gt;0,VA_FEHLER_AB&gt;0)</formula>
    </cfRule>
  </conditionalFormatting>
  <conditionalFormatting sqref="C142:J147 M142:T147 C150 M150 H153:J153 R153:T153 G154:J154 Q154:T154 F155:J155 P155:T155 H156:J163 R156:T163 H164:H168 R164:R168">
    <cfRule type="expression" dxfId="64" priority="72">
      <formula>OR(VA_FEHLERMODUL&gt;0,VA_FEHLER_AB&gt;0)</formula>
    </cfRule>
  </conditionalFormatting>
  <conditionalFormatting sqref="G140">
    <cfRule type="expression" dxfId="63" priority="21">
      <formula>AND(VA_FEHLERMODUL=0,VA_FEHLER_AB=0,($G$143+$I$143)&lt;$I$136)</formula>
    </cfRule>
  </conditionalFormatting>
  <conditionalFormatting sqref="G145:J145">
    <cfRule type="expression" dxfId="62" priority="26">
      <formula>AND(VA_FEHLERMODUL=0,VA_FEHLER_AB=0,$G$145+$I$145&gt;100)</formula>
    </cfRule>
  </conditionalFormatting>
  <conditionalFormatting sqref="H157:J157 R157:T157">
    <cfRule type="expression" dxfId="61" priority="90">
      <formula>H157&lt;H156</formula>
    </cfRule>
    <cfRule type="expression" dxfId="60" priority="92">
      <formula>H157=H156</formula>
    </cfRule>
    <cfRule type="expression" dxfId="59" priority="93">
      <formula>H157&gt;H156</formula>
    </cfRule>
  </conditionalFormatting>
  <conditionalFormatting sqref="I136 G141:J141 C143 G143:J143">
    <cfRule type="expression" dxfId="58" priority="22">
      <formula>AND(VA_FEHLERMODUL=0,VA_FEHLER_AB=0,($G$143+$I$143)&lt;$I$136)</formula>
    </cfRule>
  </conditionalFormatting>
  <conditionalFormatting sqref="K60">
    <cfRule type="cellIs" dxfId="57" priority="38" operator="lessThan">
      <formula>0</formula>
    </cfRule>
  </conditionalFormatting>
  <conditionalFormatting sqref="K145">
    <cfRule type="expression" dxfId="56" priority="25">
      <formula>AND(VA_FEHLERMODUL=0,VA_FEHLER_AB=0,$G$145+$I$145&gt;100)</formula>
    </cfRule>
  </conditionalFormatting>
  <conditionalFormatting sqref="K42:S98 C141:J150 M141:T150 C132:J138 M132:T138 C153:J171 M153:T171">
    <cfRule type="expression" dxfId="55" priority="74">
      <formula>OR(VA_FEHLERMODUL&gt;0,VA_FEHLER_AB&gt;0)</formula>
    </cfRule>
  </conditionalFormatting>
  <conditionalFormatting sqref="L145">
    <cfRule type="expression" dxfId="54" priority="23">
      <formula>AND(VA_FEHLERMODUL=0,VA_FEHLER_AB=0,VA_BESTANDSEINGABE=2,VA_ZUSAMMEN=0,$Q$145+$S$145&gt;100)</formula>
    </cfRule>
  </conditionalFormatting>
  <conditionalFormatting sqref="M8 R15:T15 R20:T20 R24:T24 R27:T27 R32:T32">
    <cfRule type="expression" dxfId="53" priority="46">
      <formula>OR(VA_BESTANDSEINGABE=1,VA_ZUSAMMEN=1)</formula>
    </cfRule>
  </conditionalFormatting>
  <conditionalFormatting sqref="M157">
    <cfRule type="expression" dxfId="52" priority="7">
      <formula>OR(VA_BESTANDSEINGABE=1,VA_ZUSAMMEN=1)</formula>
    </cfRule>
  </conditionalFormatting>
  <conditionalFormatting sqref="M79:S83">
    <cfRule type="expression" dxfId="51" priority="27">
      <formula>VP_5_ERSTMALIGSICHER=0</formula>
    </cfRule>
  </conditionalFormatting>
  <conditionalFormatting sqref="M96:S96">
    <cfRule type="expression" dxfId="50" priority="45">
      <formula>OR(VA_FEHLERMODUL&gt;0,VA_FEHLER_AB&gt;0)</formula>
    </cfRule>
  </conditionalFormatting>
  <conditionalFormatting sqref="M10:T32">
    <cfRule type="expression" dxfId="49" priority="53">
      <formula>OR(VA_BESTANDSEINGABE=1,VA_ZUSAMMEN=1)</formula>
    </cfRule>
  </conditionalFormatting>
  <conditionalFormatting sqref="M141:T150 M153:T171">
    <cfRule type="expression" dxfId="48" priority="51">
      <formula>OR(VA_BESTANDSEINGABE=1,VA_ZUSAMMEN=1)</formula>
    </cfRule>
  </conditionalFormatting>
  <conditionalFormatting sqref="M142:T147 M150 R153:T153 Q154:T154 P155:T155 R156:T163 R164:R168">
    <cfRule type="expression" dxfId="47" priority="50">
      <formula>OR(VA_BESTANDSEINGABE=1,VA_ZUSAMMEN=1)</formula>
    </cfRule>
  </conditionalFormatting>
  <conditionalFormatting sqref="Q140">
    <cfRule type="expression" dxfId="46" priority="18">
      <formula>AND(VA_FEHLERMODUL=0,VA_FEHLER_AB=0,VA_BESTANDSEINGABE=2,VA_ZUSAMMEN=0,($Q$143+$S$143)&lt;$S$136)</formula>
    </cfRule>
  </conditionalFormatting>
  <conditionalFormatting sqref="Q42:S98 M141:T150 M132:T138 M153:T171">
    <cfRule type="expression" dxfId="45" priority="52">
      <formula>OR(VA_BESTANDSEINGABE=1,VA_ZUSAMMEN=1)</formula>
    </cfRule>
  </conditionalFormatting>
  <conditionalFormatting sqref="Q96:S96">
    <cfRule type="expression" dxfId="44" priority="39">
      <formula>OR(VA_BESTANDSEINGABE=1,VA_ZUSAMMEN=1)</formula>
    </cfRule>
  </conditionalFormatting>
  <conditionalFormatting sqref="Q145:T145">
    <cfRule type="expression" dxfId="43" priority="24">
      <formula>AND(VA_FEHLERMODUL=0,VA_FEHLER_AB=0,VA_BESTANDSEINGABE=2,VA_ZUSAMMEN=0,$Q$145+$S$145&gt;100)</formula>
    </cfRule>
  </conditionalFormatting>
  <conditionalFormatting sqref="R15:T15 R20:T20 R24:T24 R27:T27 R32:T32 C8 M8 H15:J15 H20:J20 H24:J24 H27:J27 H32:J32">
    <cfRule type="expression" dxfId="42" priority="67">
      <formula>OR(VA_FEHLERMODUL&gt;0,VA_FEHLER_AB&gt;0)</formula>
    </cfRule>
  </conditionalFormatting>
  <conditionalFormatting sqref="S37 C37 O38">
    <cfRule type="expression" dxfId="41" priority="33">
      <formula>OR(VA_FEHLERMODUL&gt;0,VA_FEHLER_AB&gt;0)</formula>
    </cfRule>
  </conditionalFormatting>
  <conditionalFormatting sqref="S37">
    <cfRule type="expression" dxfId="40" priority="32">
      <formula>OR(VA_BESTANDSEINGABE&lt;2,VA_ZUSAMMEN=1)</formula>
    </cfRule>
  </conditionalFormatting>
  <conditionalFormatting sqref="S136 Q141:T141 M143 Q143:T143">
    <cfRule type="expression" dxfId="39" priority="19">
      <formula>AND(VA_FEHLERMODUL=0,VA_FEHLER_AB=0,VA_BESTANDSEINGABE=2,VA_ZUSAMMEN=0,($Q$143+$S$143)&lt;$S$136)</formula>
    </cfRule>
  </conditionalFormatting>
  <conditionalFormatting sqref="Y1">
    <cfRule type="expression" dxfId="38" priority="1">
      <formula>V_ARBEIT=0</formula>
    </cfRule>
  </conditionalFormatting>
  <dataValidations count="4">
    <dataValidation type="whole" operator="greaterThanOrEqual" allowBlank="1" showErrorMessage="1" errorTitle="Eingabefehler" error="Nur ganze, positive Zahlen sowie 0 erlaubt." sqref="H159:H162 J159:J162 S159:S163 I146:J146 H164:H168 I159:I163 R159:R162 T159:T162 R164:R168 S146:T146" xr:uid="{ADBCE00B-8B72-4D87-9B0D-E525DE29631A}">
      <formula1>0</formula1>
    </dataValidation>
    <dataValidation type="list" allowBlank="1" showInputMessage="1" showErrorMessage="1" errorTitle="Eingabefehler" error="Bitte Eintrag aus der Auswahlliste wählen." sqref="C38:G38" xr:uid="{CAB5718B-4B8B-4DCF-9531-8452700DB4EF}">
      <formula1>R_ZUSAMMEN</formula1>
    </dataValidation>
    <dataValidation type="whole" allowBlank="1" showErrorMessage="1" errorTitle="Eingabefehler" error="Nur ganze Zahlen zwischen 0 und 100 erlaubt." sqref="G145:J145 Q145:T145" xr:uid="{B42F529C-87F1-46DB-9138-EB514B9593ED}">
      <formula1>0</formula1>
      <formula2>100</formula2>
    </dataValidation>
    <dataValidation type="decimal" allowBlank="1" showErrorMessage="1" errorTitle="Eingabefehler" error="Nur ganze Zahlen zwischen 0 und 100 erlaubt." sqref="S147:T147 I147:J147" xr:uid="{120DAD96-CCC4-4343-8919-C43F3629BBAE}">
      <formula1>0</formula1>
      <formula2>1</formula2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fitToHeight="0" orientation="portrait" errors="blank" horizontalDpi="1200" verticalDpi="1200" r:id="rId1"/>
  <headerFooter scaleWithDoc="0">
    <oddHeader>&amp;L&amp;13Ergebnisjustierung&amp;R&amp;G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cellWatches>
    <cellWatch r="N76"/>
    <cellWatch r="N83"/>
    <cellWatch r="N87"/>
    <cellWatch r="N89"/>
    <cellWatch r="N91"/>
    <cellWatch r="N96"/>
    <cellWatch r="N98"/>
  </cellWatche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F519-DF6E-484B-A9DC-7B775928977D}">
  <sheetPr codeName="Sheet5">
    <tabColor theme="6" tint="0.59999389629810485"/>
    <pageSetUpPr autoPageBreaks="0" fitToPage="1"/>
  </sheetPr>
  <dimension ref="A1:AA196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IF(VA_KOSTENANALYSE&lt;&gt;2,TBS_FH,TBS_FH_D)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W4" s="204"/>
    </row>
    <row r="5" spans="1:27" ht="14.1" customHeight="1" x14ac:dyDescent="0.25">
      <c r="A5" s="227"/>
      <c r="B5" s="207"/>
      <c r="C5" s="715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9"/>
      <c r="W5" s="204"/>
    </row>
    <row r="6" spans="1:27" ht="18" customHeight="1" x14ac:dyDescent="0.25">
      <c r="A6" s="227"/>
      <c r="B6" s="210"/>
      <c r="C6" s="412" t="s">
        <v>322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3"/>
      <c r="W6" s="204"/>
    </row>
    <row r="7" spans="1:27" ht="18" customHeight="1" x14ac:dyDescent="0.25">
      <c r="A7" s="227"/>
      <c r="B7" s="210"/>
      <c r="C7" s="412" t="s">
        <v>316</v>
      </c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3"/>
      <c r="W7" s="204"/>
    </row>
    <row r="8" spans="1:27" ht="14.1" customHeight="1" x14ac:dyDescent="0.25">
      <c r="A8" s="227"/>
      <c r="B8" s="943"/>
      <c r="C8" s="946"/>
      <c r="D8" s="944"/>
      <c r="E8" s="944"/>
      <c r="F8" s="944"/>
      <c r="G8" s="944"/>
      <c r="H8" s="944"/>
      <c r="I8" s="944"/>
      <c r="J8" s="944"/>
      <c r="K8" s="944"/>
      <c r="L8" s="944"/>
      <c r="M8" s="944"/>
      <c r="N8" s="944"/>
      <c r="O8" s="944"/>
      <c r="P8" s="944"/>
      <c r="Q8" s="944"/>
      <c r="R8" s="944"/>
      <c r="S8" s="944"/>
      <c r="T8" s="944"/>
      <c r="U8" s="945"/>
      <c r="W8" s="204"/>
    </row>
    <row r="9" spans="1:27" ht="14.1" customHeight="1" x14ac:dyDescent="0.25">
      <c r="A9" s="227"/>
      <c r="B9" s="210"/>
      <c r="C9" s="4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3"/>
      <c r="W9" s="204"/>
    </row>
    <row r="10" spans="1:27" ht="18" customHeight="1" x14ac:dyDescent="0.25">
      <c r="A10" s="227"/>
      <c r="B10" s="210"/>
      <c r="C10" s="412" t="s">
        <v>901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3"/>
      <c r="W10" s="204"/>
    </row>
    <row r="11" spans="1:27" ht="18" customHeight="1" x14ac:dyDescent="0.25">
      <c r="A11" s="227"/>
      <c r="B11" s="210"/>
      <c r="C11" s="412" t="s">
        <v>893</v>
      </c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3"/>
      <c r="W11" s="204"/>
    </row>
    <row r="12" spans="1:27" ht="18" customHeight="1" x14ac:dyDescent="0.25">
      <c r="A12" s="227"/>
      <c r="B12" s="210"/>
      <c r="C12" s="412" t="s">
        <v>892</v>
      </c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3"/>
      <c r="W12" s="204"/>
    </row>
    <row r="13" spans="1:27" ht="6" customHeight="1" x14ac:dyDescent="0.25">
      <c r="A13" s="227"/>
      <c r="B13" s="210"/>
      <c r="C13" s="4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3"/>
      <c r="W13" s="204"/>
    </row>
    <row r="14" spans="1:27" ht="18" customHeight="1" x14ac:dyDescent="0.25">
      <c r="A14" s="227"/>
      <c r="B14" s="210"/>
      <c r="C14" s="412" t="s">
        <v>884</v>
      </c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3"/>
      <c r="W14" s="204"/>
      <c r="X14" s="501"/>
    </row>
    <row r="15" spans="1:27" ht="14.1" customHeight="1" x14ac:dyDescent="0.25">
      <c r="A15" s="227"/>
      <c r="B15" s="210"/>
      <c r="C15" s="412"/>
      <c r="D15" s="212"/>
      <c r="E15" s="212"/>
      <c r="F15" s="212"/>
      <c r="G15" s="212"/>
      <c r="H15" s="219"/>
      <c r="I15" s="219"/>
      <c r="J15" s="219"/>
      <c r="K15" s="219"/>
      <c r="L15" s="219"/>
      <c r="M15" s="219"/>
      <c r="N15" s="219"/>
      <c r="O15" s="219"/>
      <c r="P15" s="212"/>
      <c r="Q15" s="212"/>
      <c r="R15" s="212"/>
      <c r="S15" s="212"/>
      <c r="T15" s="212"/>
      <c r="U15" s="213"/>
      <c r="W15" s="204"/>
      <c r="X15" s="501"/>
    </row>
    <row r="16" spans="1:27" ht="3.95" customHeight="1" thickBot="1" x14ac:dyDescent="0.3">
      <c r="A16" s="227"/>
      <c r="B16" s="210"/>
      <c r="C16" s="412"/>
      <c r="D16" s="212"/>
      <c r="E16" s="212"/>
      <c r="F16" s="212"/>
      <c r="G16" s="221"/>
      <c r="H16" s="212"/>
      <c r="I16" s="212"/>
      <c r="J16" s="212"/>
      <c r="K16" s="212"/>
      <c r="L16" s="212"/>
      <c r="M16" s="212"/>
      <c r="N16" s="212"/>
      <c r="O16" s="221"/>
      <c r="P16" s="212"/>
      <c r="Q16" s="212"/>
      <c r="R16" s="212"/>
      <c r="S16" s="212"/>
      <c r="T16" s="212"/>
      <c r="U16" s="213"/>
      <c r="W16" s="204"/>
      <c r="X16" s="501"/>
    </row>
    <row r="17" spans="1:24" ht="18" customHeight="1" thickBot="1" x14ac:dyDescent="0.3">
      <c r="A17" s="227"/>
      <c r="B17" s="210"/>
      <c r="C17" s="412"/>
      <c r="D17" s="212"/>
      <c r="E17" s="212"/>
      <c r="F17" s="212"/>
      <c r="G17" s="221"/>
      <c r="H17" s="1343" t="s">
        <v>845</v>
      </c>
      <c r="I17" s="1343"/>
      <c r="J17" s="1371"/>
      <c r="K17" s="938">
        <v>1500</v>
      </c>
      <c r="L17" s="1374"/>
      <c r="M17" s="1375"/>
      <c r="N17" s="1372" t="s">
        <v>335</v>
      </c>
      <c r="O17" s="1373"/>
      <c r="P17" s="212"/>
      <c r="Q17" s="212"/>
      <c r="R17" s="212"/>
      <c r="S17" s="212"/>
      <c r="T17" s="212"/>
      <c r="U17" s="213"/>
      <c r="W17" s="204"/>
      <c r="X17" s="501"/>
    </row>
    <row r="18" spans="1:24" ht="3.95" customHeight="1" x14ac:dyDescent="0.25">
      <c r="A18" s="227"/>
      <c r="B18" s="210"/>
      <c r="C18" s="412"/>
      <c r="D18" s="212"/>
      <c r="E18" s="212"/>
      <c r="F18" s="212"/>
      <c r="G18" s="221"/>
      <c r="H18" s="219"/>
      <c r="I18" s="219"/>
      <c r="J18" s="219"/>
      <c r="K18" s="219"/>
      <c r="L18" s="219"/>
      <c r="M18" s="219"/>
      <c r="N18" s="219"/>
      <c r="O18" s="939"/>
      <c r="P18" s="212"/>
      <c r="Q18" s="212"/>
      <c r="R18" s="212"/>
      <c r="S18" s="212"/>
      <c r="T18" s="212"/>
      <c r="U18" s="213"/>
      <c r="W18" s="204"/>
      <c r="X18" s="501"/>
    </row>
    <row r="19" spans="1:24" ht="18" customHeight="1" x14ac:dyDescent="0.25">
      <c r="A19" s="227"/>
      <c r="B19" s="210"/>
      <c r="C19" s="412"/>
      <c r="D19" s="941"/>
      <c r="E19" s="941"/>
      <c r="F19" s="941"/>
      <c r="G19" s="941"/>
      <c r="H19" s="941"/>
      <c r="I19" s="941"/>
      <c r="J19" s="202"/>
      <c r="K19" s="942" t="s">
        <v>891</v>
      </c>
      <c r="L19" s="1376" t="s">
        <v>846</v>
      </c>
      <c r="M19" s="1376"/>
      <c r="N19" s="1376"/>
      <c r="O19" s="1376"/>
      <c r="P19" s="1376"/>
      <c r="Q19" s="1376"/>
      <c r="R19" s="1376"/>
      <c r="S19" s="1376"/>
      <c r="T19" s="1376"/>
      <c r="U19" s="213"/>
      <c r="W19" s="204"/>
      <c r="X19" s="501"/>
    </row>
    <row r="20" spans="1:24" ht="14.1" customHeight="1" x14ac:dyDescent="0.25">
      <c r="A20" s="227"/>
      <c r="B20" s="210"/>
      <c r="C20" s="412"/>
      <c r="D20" s="941"/>
      <c r="E20" s="941"/>
      <c r="F20" s="941"/>
      <c r="G20" s="941"/>
      <c r="H20" s="941"/>
      <c r="I20" s="941"/>
      <c r="J20" s="202"/>
      <c r="K20" s="942"/>
      <c r="L20" s="947"/>
      <c r="M20" s="947"/>
      <c r="N20" s="947"/>
      <c r="O20" s="947"/>
      <c r="P20" s="947"/>
      <c r="Q20" s="947"/>
      <c r="R20" s="947"/>
      <c r="S20" s="947"/>
      <c r="T20" s="947"/>
      <c r="U20" s="213"/>
      <c r="W20" s="204"/>
      <c r="X20" s="501"/>
    </row>
    <row r="21" spans="1:24" ht="24" customHeight="1" x14ac:dyDescent="0.25">
      <c r="A21" s="227"/>
      <c r="B21" s="975"/>
      <c r="C21" s="686" t="s">
        <v>885</v>
      </c>
      <c r="D21" s="976"/>
      <c r="E21" s="976"/>
      <c r="F21" s="976"/>
      <c r="G21" s="976"/>
      <c r="H21" s="976"/>
      <c r="I21" s="976"/>
      <c r="J21" s="392"/>
      <c r="K21" s="977"/>
      <c r="L21" s="978"/>
      <c r="M21" s="978"/>
      <c r="N21" s="978"/>
      <c r="O21" s="978"/>
      <c r="P21" s="978"/>
      <c r="Q21" s="978"/>
      <c r="R21" s="978"/>
      <c r="S21" s="978"/>
      <c r="T21" s="978"/>
      <c r="U21" s="979"/>
      <c r="W21" s="204"/>
      <c r="X21" s="501"/>
    </row>
    <row r="22" spans="1:24" ht="14.1" customHeight="1" x14ac:dyDescent="0.25">
      <c r="A22" s="227"/>
      <c r="B22" s="210"/>
      <c r="C22" s="4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3"/>
      <c r="W22" s="204"/>
      <c r="X22" s="501"/>
    </row>
    <row r="23" spans="1:24" ht="18" customHeight="1" x14ac:dyDescent="0.25">
      <c r="A23" s="227"/>
      <c r="B23" s="210"/>
      <c r="C23" s="940" t="s">
        <v>852</v>
      </c>
      <c r="D23" s="212"/>
      <c r="E23" s="212"/>
      <c r="F23" s="212"/>
      <c r="G23" s="212"/>
      <c r="H23" s="212"/>
      <c r="I23" s="212"/>
      <c r="J23" s="212"/>
      <c r="K23" s="212"/>
      <c r="L23" s="212"/>
      <c r="M23" s="656" t="s">
        <v>853</v>
      </c>
      <c r="N23" s="212"/>
      <c r="O23" s="212"/>
      <c r="P23" s="202"/>
      <c r="Q23" s="212"/>
      <c r="R23" s="212"/>
      <c r="S23" s="212"/>
      <c r="T23" s="212"/>
      <c r="U23" s="213"/>
      <c r="W23" s="204"/>
      <c r="X23" s="501"/>
    </row>
    <row r="24" spans="1:24" ht="9.9499999999999993" customHeight="1" x14ac:dyDescent="0.25">
      <c r="A24" s="227"/>
      <c r="B24" s="210"/>
      <c r="C24" s="4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02"/>
      <c r="Q24" s="212"/>
      <c r="R24" s="212"/>
      <c r="S24" s="212"/>
      <c r="T24" s="212"/>
      <c r="U24" s="213"/>
      <c r="W24" s="204"/>
      <c r="X24" s="501"/>
    </row>
    <row r="25" spans="1:24" ht="18" customHeight="1" x14ac:dyDescent="0.25">
      <c r="A25" s="227"/>
      <c r="B25" s="210"/>
      <c r="C25" s="1289" t="s">
        <v>5</v>
      </c>
      <c r="D25" s="1289"/>
      <c r="E25" s="1291" t="s">
        <v>858</v>
      </c>
      <c r="F25" s="1291"/>
      <c r="G25" s="1291"/>
      <c r="H25" s="1291"/>
      <c r="I25" s="1291"/>
      <c r="J25" s="1291"/>
      <c r="K25" s="1291"/>
      <c r="L25" s="212"/>
      <c r="M25" s="1290" t="s">
        <v>850</v>
      </c>
      <c r="N25" s="1290"/>
      <c r="O25" s="1294" t="s">
        <v>854</v>
      </c>
      <c r="P25" s="1294"/>
      <c r="Q25" s="1294"/>
      <c r="R25" s="1294"/>
      <c r="S25" s="1294"/>
      <c r="T25" s="1294"/>
      <c r="U25" s="213"/>
      <c r="W25" s="204"/>
      <c r="X25" s="501"/>
    </row>
    <row r="26" spans="1:24" ht="18" customHeight="1" x14ac:dyDescent="0.25">
      <c r="A26" s="227"/>
      <c r="B26" s="210"/>
      <c r="C26" s="1289" t="s">
        <v>848</v>
      </c>
      <c r="D26" s="1289"/>
      <c r="E26" s="1291" t="s">
        <v>952</v>
      </c>
      <c r="F26" s="1291"/>
      <c r="G26" s="1291"/>
      <c r="H26" s="1291"/>
      <c r="I26" s="1291"/>
      <c r="J26" s="1291"/>
      <c r="K26" s="1291"/>
      <c r="L26" s="212"/>
      <c r="M26" s="1295"/>
      <c r="N26" s="1295"/>
      <c r="O26" s="1295" t="s">
        <v>855</v>
      </c>
      <c r="P26" s="1295"/>
      <c r="Q26" s="1295"/>
      <c r="R26" s="1295"/>
      <c r="S26" s="1295"/>
      <c r="T26" s="1295"/>
      <c r="U26" s="213"/>
      <c r="W26" s="204"/>
      <c r="X26" s="501"/>
    </row>
    <row r="27" spans="1:24" ht="18" customHeight="1" x14ac:dyDescent="0.25">
      <c r="A27" s="227"/>
      <c r="B27" s="210"/>
      <c r="C27" s="1289" t="s">
        <v>6</v>
      </c>
      <c r="D27" s="1289"/>
      <c r="E27" s="1291" t="s">
        <v>859</v>
      </c>
      <c r="F27" s="1291"/>
      <c r="G27" s="1291"/>
      <c r="H27" s="1291"/>
      <c r="I27" s="1291"/>
      <c r="J27" s="1291"/>
      <c r="K27" s="1291"/>
      <c r="L27" s="212"/>
      <c r="M27" s="1296"/>
      <c r="N27" s="1296"/>
      <c r="O27" s="1296" t="s">
        <v>857</v>
      </c>
      <c r="P27" s="1296"/>
      <c r="Q27" s="1296"/>
      <c r="R27" s="1296"/>
      <c r="S27" s="1296"/>
      <c r="T27" s="1296"/>
      <c r="U27" s="213"/>
      <c r="W27" s="204"/>
      <c r="X27" s="501"/>
    </row>
    <row r="28" spans="1:24" ht="18" customHeight="1" x14ac:dyDescent="0.25">
      <c r="A28" s="227"/>
      <c r="B28" s="210"/>
      <c r="C28" s="1289" t="s">
        <v>718</v>
      </c>
      <c r="D28" s="1289"/>
      <c r="E28" s="1291" t="s">
        <v>860</v>
      </c>
      <c r="F28" s="1291"/>
      <c r="G28" s="1291"/>
      <c r="H28" s="1291"/>
      <c r="I28" s="1291"/>
      <c r="J28" s="1291"/>
      <c r="K28" s="1291"/>
      <c r="L28" s="212"/>
      <c r="M28" s="1290" t="s">
        <v>856</v>
      </c>
      <c r="N28" s="1290"/>
      <c r="O28" s="1294" t="s">
        <v>867</v>
      </c>
      <c r="P28" s="1294"/>
      <c r="Q28" s="1294"/>
      <c r="R28" s="1294"/>
      <c r="S28" s="1294"/>
      <c r="T28" s="1294"/>
      <c r="U28" s="213"/>
      <c r="W28" s="204"/>
      <c r="X28" s="501"/>
    </row>
    <row r="29" spans="1:24" ht="18" customHeight="1" x14ac:dyDescent="0.25">
      <c r="A29" s="227"/>
      <c r="B29" s="210"/>
      <c r="C29" s="1289" t="s">
        <v>849</v>
      </c>
      <c r="D29" s="1289"/>
      <c r="E29" s="1291" t="s">
        <v>861</v>
      </c>
      <c r="F29" s="1291"/>
      <c r="G29" s="1291"/>
      <c r="H29" s="1291"/>
      <c r="I29" s="1291"/>
      <c r="J29" s="1291"/>
      <c r="K29" s="1291"/>
      <c r="L29" s="212"/>
      <c r="M29" s="1297" t="s">
        <v>851</v>
      </c>
      <c r="N29" s="1297"/>
      <c r="O29" s="1296" t="s">
        <v>953</v>
      </c>
      <c r="P29" s="1296"/>
      <c r="Q29" s="1296"/>
      <c r="R29" s="1296"/>
      <c r="S29" s="1296"/>
      <c r="T29" s="1296"/>
      <c r="U29" s="213"/>
      <c r="W29" s="204"/>
      <c r="X29" s="501"/>
    </row>
    <row r="30" spans="1:24" ht="18" customHeight="1" x14ac:dyDescent="0.25">
      <c r="A30" s="227"/>
      <c r="B30" s="210"/>
      <c r="C30" s="1290" t="s">
        <v>15</v>
      </c>
      <c r="D30" s="1290"/>
      <c r="E30" s="1294" t="s">
        <v>954</v>
      </c>
      <c r="F30" s="1294"/>
      <c r="G30" s="1294"/>
      <c r="H30" s="1294"/>
      <c r="I30" s="1294"/>
      <c r="J30" s="1294"/>
      <c r="K30" s="1294"/>
      <c r="L30" s="212"/>
      <c r="M30" s="1295"/>
      <c r="N30" s="1295"/>
      <c r="O30" s="1294" t="s">
        <v>864</v>
      </c>
      <c r="P30" s="1294"/>
      <c r="Q30" s="1294"/>
      <c r="R30" s="1294"/>
      <c r="S30" s="1294"/>
      <c r="T30" s="1294"/>
      <c r="U30" s="213"/>
      <c r="W30" s="204"/>
      <c r="X30" s="501"/>
    </row>
    <row r="31" spans="1:24" ht="18" customHeight="1" x14ac:dyDescent="0.25">
      <c r="A31" s="227"/>
      <c r="B31" s="210"/>
      <c r="C31" s="950"/>
      <c r="D31" s="951"/>
      <c r="E31" s="1296" t="s">
        <v>955</v>
      </c>
      <c r="F31" s="1296"/>
      <c r="G31" s="1296"/>
      <c r="H31" s="1296"/>
      <c r="I31" s="1296"/>
      <c r="J31" s="1296"/>
      <c r="K31" s="1296"/>
      <c r="L31" s="212"/>
      <c r="M31" s="1296"/>
      <c r="N31" s="1296"/>
      <c r="O31" s="1296" t="s">
        <v>865</v>
      </c>
      <c r="P31" s="1296"/>
      <c r="Q31" s="1296"/>
      <c r="R31" s="1296"/>
      <c r="S31" s="1296"/>
      <c r="T31" s="1296"/>
      <c r="U31" s="213"/>
      <c r="W31" s="204"/>
      <c r="X31" s="501"/>
    </row>
    <row r="32" spans="1:24" ht="14.1" customHeight="1" x14ac:dyDescent="0.25">
      <c r="A32" s="227"/>
      <c r="B32" s="218"/>
      <c r="C32" s="416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20"/>
      <c r="W32" s="204"/>
      <c r="X32" s="501"/>
    </row>
    <row r="33" spans="1:24" ht="18" customHeight="1" x14ac:dyDescent="0.25">
      <c r="A33" s="227"/>
      <c r="B33" s="657"/>
      <c r="C33" s="413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414"/>
      <c r="W33" s="204"/>
      <c r="X33" s="501"/>
    </row>
    <row r="34" spans="1:24" ht="18" customHeight="1" x14ac:dyDescent="0.25">
      <c r="A34" s="227"/>
      <c r="B34" s="657"/>
      <c r="C34" s="415" t="s">
        <v>294</v>
      </c>
      <c r="D34" s="226"/>
      <c r="E34" s="226"/>
      <c r="F34" s="226"/>
      <c r="G34" s="226"/>
      <c r="H34" s="226"/>
      <c r="I34" s="226"/>
      <c r="J34" s="226"/>
      <c r="K34" s="226"/>
      <c r="L34" s="226"/>
      <c r="M34" s="262" t="s">
        <v>33</v>
      </c>
      <c r="N34" s="1510" t="s">
        <v>319</v>
      </c>
      <c r="O34" s="1511"/>
      <c r="P34" s="1511"/>
      <c r="Q34" s="1511"/>
      <c r="R34" s="1511"/>
      <c r="S34" s="1511"/>
      <c r="T34" s="1512"/>
      <c r="U34" s="414"/>
      <c r="W34" s="204"/>
      <c r="X34" s="501"/>
    </row>
    <row r="35" spans="1:24" ht="14.1" customHeight="1" x14ac:dyDescent="0.25">
      <c r="A35" s="227"/>
      <c r="B35" s="657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414"/>
      <c r="W35" s="204"/>
      <c r="X35" s="501"/>
    </row>
    <row r="36" spans="1:24" ht="18" customHeight="1" x14ac:dyDescent="0.25">
      <c r="A36" s="227"/>
      <c r="B36" s="716">
        <f>IF(
OR(N34="Bitte klicken und auswählen…",N34=""),1,IF(
N34="Eigene Bestandsdaten eingeben",2,IF(
AND(VA_FEHLERMODUL=0,VA_FEHLER_AB=0,VA_FEHLER_CD=0),3,IF(
AND(VA_FEHLERMODUL=0,VA_FEHLER_AB=0,VA_FEHLER_CD=1),4,
5))))</f>
        <v>5</v>
      </c>
      <c r="C36" s="1513" t="str">
        <f>CHOOSE(B36,
"Bitte wählen Sie oben aus, welche Daten Sie verwenden möchten.",
"Bitte geben Sie unten Ihren Bestandsdaten sowie weitere Parameter für die Kostenanalyse ein.",
"Ihre Daten aus Teil C wurden unten übernommen. Bitte geben Sie noch die weiteren Parameter für die Kostenanalyse ein.",
"Bitte prüfen Sie in Teil C unten die Zuordnung/Verteilung der Stellplätze. Für die Kostenanalyse sind noch nicht alle Stellplätze korrekt zugeordnet/verteilt.",
"Bitte prüfen Sie Ihre Eingaben/Auswahlen in den Teilen A bis C. Für die Kostenanalyse sind noch nicht alle Daten/Parameter korrekt eingegeben.")</f>
        <v>Bitte prüfen Sie Ihre Eingaben/Auswahlen in den Teilen A bis C. Für die Kostenanalyse sind noch nicht alle Daten/Parameter korrekt eingegeben.</v>
      </c>
      <c r="D36" s="1513"/>
      <c r="E36" s="1513"/>
      <c r="F36" s="1513"/>
      <c r="G36" s="1513"/>
      <c r="H36" s="1513"/>
      <c r="I36" s="1513"/>
      <c r="J36" s="1513"/>
      <c r="K36" s="1513"/>
      <c r="L36" s="1513"/>
      <c r="M36" s="1513"/>
      <c r="N36" s="1513"/>
      <c r="O36" s="1513"/>
      <c r="P36" s="1513"/>
      <c r="Q36" s="1513"/>
      <c r="R36" s="1513"/>
      <c r="S36" s="1513"/>
      <c r="T36" s="1513"/>
      <c r="U36" s="414"/>
      <c r="W36" s="204"/>
      <c r="X36" s="501"/>
    </row>
    <row r="37" spans="1:24" ht="14.1" customHeight="1" thickBot="1" x14ac:dyDescent="0.3">
      <c r="A37" s="227"/>
      <c r="B37" s="256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1"/>
      <c r="W37" s="204"/>
      <c r="X37" s="501"/>
    </row>
    <row r="38" spans="1:24" ht="18" customHeight="1" thickBot="1" x14ac:dyDescent="0.3">
      <c r="B38" s="359"/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W38" s="204"/>
      <c r="X38" s="501"/>
    </row>
    <row r="39" spans="1:24" ht="32.1" customHeight="1" x14ac:dyDescent="0.25">
      <c r="A39" s="227"/>
      <c r="B39" s="423"/>
      <c r="C39" s="424" t="s">
        <v>317</v>
      </c>
      <c r="D39" s="425"/>
      <c r="E39" s="425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6"/>
      <c r="W39" s="204"/>
      <c r="X39" s="501"/>
    </row>
    <row r="40" spans="1:24" ht="24" customHeight="1" x14ac:dyDescent="0.25">
      <c r="A40" s="227"/>
      <c r="B40" s="706"/>
      <c r="C40" s="707" t="s">
        <v>323</v>
      </c>
      <c r="D40" s="428" t="s">
        <v>328</v>
      </c>
      <c r="E40" s="234"/>
      <c r="F40" s="234"/>
      <c r="G40" s="234"/>
      <c r="H40" s="234"/>
      <c r="I40" s="234"/>
      <c r="J40" s="234"/>
      <c r="K40" s="234"/>
      <c r="L40" s="234"/>
      <c r="M40" s="1398" t="s">
        <v>330</v>
      </c>
      <c r="N40" s="1397"/>
      <c r="O40" s="1396" t="s">
        <v>331</v>
      </c>
      <c r="P40" s="1397"/>
      <c r="Q40" s="1398" t="s">
        <v>332</v>
      </c>
      <c r="R40" s="1398"/>
      <c r="S40" s="1396" t="s">
        <v>401</v>
      </c>
      <c r="T40" s="1398"/>
      <c r="U40" s="427"/>
      <c r="W40" s="204"/>
      <c r="X40" s="501"/>
    </row>
    <row r="41" spans="1:24" ht="6" customHeight="1" x14ac:dyDescent="0.25">
      <c r="A41" s="227"/>
      <c r="B41" s="255"/>
      <c r="U41" s="227"/>
      <c r="W41" s="204"/>
      <c r="X41" s="501"/>
    </row>
    <row r="42" spans="1:24" ht="20.100000000000001" customHeight="1" x14ac:dyDescent="0.25">
      <c r="A42" s="227"/>
      <c r="B42" s="255"/>
      <c r="C42" s="459">
        <v>1</v>
      </c>
      <c r="D42" s="1404" t="s">
        <v>5</v>
      </c>
      <c r="E42" s="1405"/>
      <c r="F42" s="1405"/>
      <c r="G42" s="1405"/>
      <c r="H42" s="872"/>
      <c r="I42" s="872" t="s">
        <v>732</v>
      </c>
      <c r="J42" s="872"/>
      <c r="K42" s="872"/>
      <c r="L42" s="873"/>
      <c r="M42" s="670">
        <v>0</v>
      </c>
      <c r="N42" s="668">
        <f>IF(OR(VA_FEHLER_AB&gt;0,VA_FEHLER_C&gt;0,VA_FEHLER_CD&gt;0),0,
0+intern!K83+
IF(OR(VA_BESTANDSEINGABE=1,VA_ZUSAMMEN=1),0,intern!U83))</f>
        <v>0</v>
      </c>
      <c r="O42" s="1526" t="s">
        <v>35</v>
      </c>
      <c r="P42" s="1527"/>
      <c r="Q42" s="1516">
        <v>250</v>
      </c>
      <c r="R42" s="1517"/>
      <c r="S42" s="1292">
        <f>IF(VA_KOSTENANALYSE&lt;2,N42*Q42,M42*Q42)</f>
        <v>0</v>
      </c>
      <c r="T42" s="1293"/>
      <c r="U42" s="227"/>
      <c r="W42" s="204"/>
      <c r="X42" s="501"/>
    </row>
    <row r="43" spans="1:24" ht="20.100000000000001" customHeight="1" x14ac:dyDescent="0.25">
      <c r="A43" s="227"/>
      <c r="B43" s="255"/>
      <c r="C43" s="460">
        <v>2</v>
      </c>
      <c r="D43" s="1385" t="s">
        <v>956</v>
      </c>
      <c r="E43" s="1386"/>
      <c r="F43" s="1386"/>
      <c r="G43" s="1386"/>
      <c r="H43" s="876"/>
      <c r="I43" s="876" t="s">
        <v>732</v>
      </c>
      <c r="J43" s="876"/>
      <c r="K43" s="876"/>
      <c r="L43" s="877"/>
      <c r="M43" s="671">
        <v>0</v>
      </c>
      <c r="N43" s="669">
        <f>IF(OR(VA_FEHLER_AB&gt;0,VA_FEHLER_C&gt;0,VA_FEHLER_CD&gt;0),0,
0+intern!K84+
IF(OR(VA_BESTANDSEINGABE=1,VA_ZUSAMMEN=1),0,intern!U84))</f>
        <v>0</v>
      </c>
      <c r="O43" s="1402" t="s">
        <v>35</v>
      </c>
      <c r="P43" s="1403"/>
      <c r="Q43" s="1400">
        <v>200</v>
      </c>
      <c r="R43" s="1401"/>
      <c r="S43" s="1298">
        <f>IF(VA_KOSTENANALYSE&lt;2,N43*Q43,M43*Q43)</f>
        <v>0</v>
      </c>
      <c r="T43" s="1299"/>
      <c r="U43" s="227"/>
      <c r="W43" s="204"/>
      <c r="X43" s="501"/>
    </row>
    <row r="44" spans="1:24" ht="20.100000000000001" customHeight="1" x14ac:dyDescent="0.25">
      <c r="A44" s="227"/>
      <c r="B44" s="255"/>
      <c r="C44" s="460">
        <v>3</v>
      </c>
      <c r="D44" s="1385" t="s">
        <v>6</v>
      </c>
      <c r="E44" s="1386"/>
      <c r="F44" s="1386"/>
      <c r="G44" s="1386"/>
      <c r="H44" s="876"/>
      <c r="I44" s="876" t="s">
        <v>732</v>
      </c>
      <c r="J44" s="876"/>
      <c r="K44" s="876"/>
      <c r="L44" s="877"/>
      <c r="M44" s="671">
        <v>0</v>
      </c>
      <c r="N44" s="669">
        <f>IF(OR(VA_FEHLER_AB&gt;0,VA_FEHLER_C&gt;0,VA_FEHLER_CD&gt;0),0,
0+intern!K85+
IF(OR(VA_BESTANDSEINGABE=1,VA_ZUSAMMEN=1),0,intern!U85))</f>
        <v>0</v>
      </c>
      <c r="O44" s="1402" t="s">
        <v>35</v>
      </c>
      <c r="P44" s="1403"/>
      <c r="Q44" s="1518">
        <v>450</v>
      </c>
      <c r="R44" s="1519"/>
      <c r="S44" s="1298">
        <f>IF(VA_KOSTENANALYSE&lt;2,N44*Q44,M44*Q44)</f>
        <v>0</v>
      </c>
      <c r="T44" s="1299"/>
      <c r="U44" s="227"/>
      <c r="W44" s="204"/>
      <c r="X44" s="501"/>
    </row>
    <row r="45" spans="1:24" ht="20.100000000000001" customHeight="1" x14ac:dyDescent="0.25">
      <c r="A45" s="227"/>
      <c r="B45" s="255"/>
      <c r="C45" s="857">
        <v>4</v>
      </c>
      <c r="D45" s="1385" t="s">
        <v>728</v>
      </c>
      <c r="E45" s="1386"/>
      <c r="F45" s="1386"/>
      <c r="G45" s="1386"/>
      <c r="H45" s="876"/>
      <c r="I45" s="876" t="s">
        <v>732</v>
      </c>
      <c r="J45" s="876"/>
      <c r="K45" s="876"/>
      <c r="L45" s="877"/>
      <c r="M45" s="858">
        <v>0</v>
      </c>
      <c r="N45" s="859">
        <f>IF(OR(VA_FEHLER_AB&gt;0,VA_FEHLER_C&gt;0,VA_FEHLER_CD&gt;0),0,
0+intern!K86+
IF(OR(VA_BESTANDSEINGABE=1,VA_ZUSAMMEN=1),0,intern!U86))</f>
        <v>0</v>
      </c>
      <c r="O45" s="1402" t="s">
        <v>35</v>
      </c>
      <c r="P45" s="1403"/>
      <c r="Q45" s="1400">
        <v>250</v>
      </c>
      <c r="R45" s="1401"/>
      <c r="S45" s="1298">
        <f>IF(VA_KOSTENANALYSE&lt;2,N45*Q45,M45*Q45)</f>
        <v>0</v>
      </c>
      <c r="T45" s="1299"/>
      <c r="U45" s="227"/>
      <c r="W45" s="204"/>
      <c r="X45" s="501"/>
    </row>
    <row r="46" spans="1:24" ht="20.100000000000001" customHeight="1" x14ac:dyDescent="0.25">
      <c r="A46" s="227"/>
      <c r="B46" s="255"/>
      <c r="C46" s="461">
        <v>5</v>
      </c>
      <c r="D46" s="1389" t="s">
        <v>228</v>
      </c>
      <c r="E46" s="1390"/>
      <c r="F46" s="1390"/>
      <c r="G46" s="1390"/>
      <c r="H46" s="874"/>
      <c r="I46" s="874" t="s">
        <v>732</v>
      </c>
      <c r="J46" s="874"/>
      <c r="K46" s="874"/>
      <c r="L46" s="875"/>
      <c r="M46" s="672">
        <v>0</v>
      </c>
      <c r="N46" s="673">
        <f>IF(OR(VA_FEHLER_AB&gt;0,VA_FEHLER_C&gt;0,VA_FEHLER_CD&gt;0),0,
0+intern!K87+
IF(OR(VA_BESTANDSEINGABE=1,VA_ZUSAMMEN=1),0,intern!U87))</f>
        <v>0</v>
      </c>
      <c r="O46" s="1543" t="s">
        <v>35</v>
      </c>
      <c r="P46" s="1544"/>
      <c r="Q46" s="1520">
        <v>3000</v>
      </c>
      <c r="R46" s="1521"/>
      <c r="S46" s="1535">
        <f>IF(VA_KOSTENANALYSE&lt;2,N46*Q46,M46*Q46)</f>
        <v>0</v>
      </c>
      <c r="T46" s="1536"/>
      <c r="U46" s="227"/>
      <c r="W46" s="204"/>
      <c r="X46" s="501"/>
    </row>
    <row r="47" spans="1:24" ht="20.100000000000001" customHeight="1" x14ac:dyDescent="0.25">
      <c r="A47" s="227"/>
      <c r="B47" s="255"/>
      <c r="C47" s="667" t="s">
        <v>722</v>
      </c>
      <c r="D47" s="1523" t="s">
        <v>329</v>
      </c>
      <c r="E47" s="1524"/>
      <c r="F47" s="1524"/>
      <c r="G47" s="1524"/>
      <c r="H47" s="1524"/>
      <c r="I47" s="1524"/>
      <c r="J47" s="1524"/>
      <c r="K47" s="1524"/>
      <c r="L47" s="1524"/>
      <c r="M47" s="1588">
        <f>IF(VA_KOSTENANALYSE&lt;2,SUM(N42:N46),SUM(M42:M46))</f>
        <v>0</v>
      </c>
      <c r="N47" s="1589"/>
      <c r="O47" s="1586" t="s">
        <v>35</v>
      </c>
      <c r="P47" s="1587"/>
      <c r="Q47" s="1522"/>
      <c r="R47" s="1522"/>
      <c r="S47" s="1537">
        <f>SUM(S42:T46)</f>
        <v>0</v>
      </c>
      <c r="T47" s="1538"/>
      <c r="U47" s="227"/>
      <c r="W47" s="204"/>
      <c r="X47" s="501"/>
    </row>
    <row r="48" spans="1:24" ht="20.100000000000001" customHeight="1" x14ac:dyDescent="0.25">
      <c r="A48" s="227"/>
      <c r="B48" s="255"/>
      <c r="C48" s="459" t="s">
        <v>796</v>
      </c>
      <c r="D48" s="1528" t="s">
        <v>803</v>
      </c>
      <c r="E48" s="1528"/>
      <c r="F48" s="1528"/>
      <c r="G48" s="1528"/>
      <c r="H48" s="1528"/>
      <c r="I48" s="1528"/>
      <c r="J48" s="1528"/>
      <c r="K48" s="1528"/>
      <c r="L48" s="1528"/>
      <c r="M48" s="670">
        <v>0</v>
      </c>
      <c r="N48" s="929">
        <f>IF(OR(VA_FEHLER_AB&gt;0,VA_FEHLER_C&gt;0,VA_FEHLER_CD&gt;0),0,
0+intern!O80-intern!O77-intern!J75+
IF(OR(VA_BESTANDSEINGABE=1,VA_ZUSAMMEN=1),0,intern!Q80-intern!Q77-intern!T75))</f>
        <v>0</v>
      </c>
      <c r="O48" s="1529" t="s">
        <v>35</v>
      </c>
      <c r="P48" s="1530"/>
      <c r="Q48" s="1533" t="s">
        <v>808</v>
      </c>
      <c r="R48" s="1533"/>
      <c r="S48" s="1533"/>
      <c r="T48" s="1534"/>
      <c r="U48" s="227"/>
      <c r="W48" s="204"/>
      <c r="X48" s="501"/>
    </row>
    <row r="49" spans="1:24" ht="20.100000000000001" customHeight="1" x14ac:dyDescent="0.25">
      <c r="A49" s="227"/>
      <c r="B49" s="255"/>
      <c r="C49" s="666" t="s">
        <v>797</v>
      </c>
      <c r="D49" s="1357" t="s">
        <v>804</v>
      </c>
      <c r="E49" s="1358"/>
      <c r="F49" s="1358"/>
      <c r="G49" s="1358"/>
      <c r="H49" s="1358"/>
      <c r="I49" s="1358"/>
      <c r="J49" s="1358"/>
      <c r="K49" s="1358"/>
      <c r="L49" s="1359"/>
      <c r="M49" s="931">
        <f>M46</f>
        <v>0</v>
      </c>
      <c r="N49" s="932">
        <f>IF(OR(VA_FEHLER_AB&gt;0,VA_FEHLER_C&gt;0,VA_FEHLER_CD&gt;0),0,N46)</f>
        <v>0</v>
      </c>
      <c r="O49" s="902" t="s">
        <v>35</v>
      </c>
      <c r="P49" s="903"/>
      <c r="Q49" s="904"/>
      <c r="R49" s="904"/>
      <c r="S49" s="904"/>
      <c r="T49" s="905"/>
      <c r="U49" s="227"/>
      <c r="W49" s="204"/>
      <c r="X49" s="501"/>
    </row>
    <row r="50" spans="1:24" ht="20.100000000000001" customHeight="1" x14ac:dyDescent="0.25">
      <c r="A50" s="227"/>
      <c r="B50" s="255"/>
      <c r="C50" s="460" t="s">
        <v>802</v>
      </c>
      <c r="D50" s="1357" t="s">
        <v>798</v>
      </c>
      <c r="E50" s="1358"/>
      <c r="F50" s="1358"/>
      <c r="G50" s="1358"/>
      <c r="H50" s="1358"/>
      <c r="I50" s="1358"/>
      <c r="J50" s="1358"/>
      <c r="K50" s="1358"/>
      <c r="L50" s="1359"/>
      <c r="M50" s="930">
        <v>0</v>
      </c>
      <c r="N50" s="900">
        <f>IF(OR(VA_FEHLER_AB&gt;0,VA_FEHLER_C&gt;0,VA_FEHLER_CD&gt;0),0,
0+intern!O77+
IF(OR(VA_BESTANDSEINGABE=1,VA_ZUSAMMEN=1),0,intern!Q77))</f>
        <v>0</v>
      </c>
      <c r="O50" s="902" t="s">
        <v>35</v>
      </c>
      <c r="P50" s="903"/>
      <c r="Q50" s="1355" t="s">
        <v>808</v>
      </c>
      <c r="R50" s="1355"/>
      <c r="S50" s="1355"/>
      <c r="T50" s="1356"/>
      <c r="U50" s="227"/>
      <c r="W50" s="204"/>
      <c r="X50" s="501"/>
    </row>
    <row r="51" spans="1:24" ht="20.100000000000001" customHeight="1" x14ac:dyDescent="0.25">
      <c r="A51" s="227"/>
      <c r="B51" s="255"/>
      <c r="C51" s="461">
        <v>7</v>
      </c>
      <c r="D51" s="1525" t="str">
        <f>"davon (6a bis 6c) Anzahl der Stellplätze mit Nutzungsentgelt (max. " &amp; IF(VA_KOSTENANALYSE&lt;2,TEXT(SUM(N48:N50),"#.###"),TEXT(SUM(M48:M50),"#.###")) &amp; ")"</f>
        <v>davon (6a bis 6c) Anzahl der Stellplätze mit Nutzungsentgelt (max. )</v>
      </c>
      <c r="E51" s="1525"/>
      <c r="F51" s="1525"/>
      <c r="G51" s="1525"/>
      <c r="H51" s="1525"/>
      <c r="I51" s="1525"/>
      <c r="J51" s="1525"/>
      <c r="K51" s="1525"/>
      <c r="L51" s="1525"/>
      <c r="M51" s="1590">
        <v>0</v>
      </c>
      <c r="N51" s="1591"/>
      <c r="O51" s="1514" t="s">
        <v>35</v>
      </c>
      <c r="P51" s="1515"/>
      <c r="Q51" s="1531" t="s">
        <v>808</v>
      </c>
      <c r="R51" s="1531"/>
      <c r="S51" s="1531"/>
      <c r="T51" s="1532"/>
      <c r="U51" s="227"/>
      <c r="W51" s="204"/>
      <c r="X51" s="501"/>
    </row>
    <row r="52" spans="1:24" ht="12" customHeight="1" x14ac:dyDescent="0.25">
      <c r="A52" s="227"/>
      <c r="B52" s="236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485"/>
      <c r="N52" s="237"/>
      <c r="O52" s="237"/>
      <c r="P52" s="237"/>
      <c r="Q52" s="237"/>
      <c r="R52" s="237"/>
      <c r="S52" s="237"/>
      <c r="T52" s="237"/>
      <c r="U52" s="239"/>
      <c r="W52" s="204"/>
      <c r="X52" s="501"/>
    </row>
    <row r="53" spans="1:24" ht="24" customHeight="1" x14ac:dyDescent="0.25">
      <c r="A53" s="227"/>
      <c r="B53" s="706"/>
      <c r="C53" s="707" t="s">
        <v>333</v>
      </c>
      <c r="D53" s="428" t="s">
        <v>636</v>
      </c>
      <c r="E53" s="234"/>
      <c r="F53" s="234"/>
      <c r="G53" s="234"/>
      <c r="H53" s="234"/>
      <c r="I53" s="234"/>
      <c r="J53" s="234"/>
      <c r="K53" s="234"/>
      <c r="L53" s="234"/>
      <c r="M53" s="1398" t="s">
        <v>330</v>
      </c>
      <c r="N53" s="1397"/>
      <c r="O53" s="1396" t="s">
        <v>331</v>
      </c>
      <c r="P53" s="1397"/>
      <c r="Q53" s="1398" t="s">
        <v>332</v>
      </c>
      <c r="R53" s="1398"/>
      <c r="S53" s="1396" t="s">
        <v>401</v>
      </c>
      <c r="T53" s="1398"/>
      <c r="U53" s="429"/>
      <c r="W53" s="204"/>
      <c r="X53" s="501"/>
    </row>
    <row r="54" spans="1:24" ht="6" customHeight="1" x14ac:dyDescent="0.25">
      <c r="A54" s="227"/>
      <c r="B54" s="255"/>
      <c r="U54" s="227"/>
      <c r="W54" s="204"/>
      <c r="X54" s="501"/>
    </row>
    <row r="55" spans="1:24" ht="20.100000000000001" customHeight="1" thickBot="1" x14ac:dyDescent="0.3">
      <c r="A55" s="227"/>
      <c r="B55" s="255"/>
      <c r="C55" s="462">
        <v>1</v>
      </c>
      <c r="D55" s="1404" t="s">
        <v>788</v>
      </c>
      <c r="E55" s="1405"/>
      <c r="F55" s="1405"/>
      <c r="G55" s="1405"/>
      <c r="H55" s="1405"/>
      <c r="I55" s="1405"/>
      <c r="J55" s="1405"/>
      <c r="K55" s="1405"/>
      <c r="L55" s="948">
        <f>intern!K342</f>
        <v>0</v>
      </c>
      <c r="M55" s="1545"/>
      <c r="N55" s="1546"/>
      <c r="O55" s="1526" t="s">
        <v>335</v>
      </c>
      <c r="P55" s="1527"/>
      <c r="Q55" s="1516">
        <v>250</v>
      </c>
      <c r="R55" s="1517"/>
      <c r="S55" s="1292">
        <f>IF(M55&lt;&gt;"",M55*Q55,IF(ISNUMBER(L55),L55*Q55,0))</f>
        <v>0</v>
      </c>
      <c r="T55" s="1293"/>
      <c r="U55" s="227"/>
      <c r="W55" s="204"/>
      <c r="X55" s="501"/>
    </row>
    <row r="56" spans="1:24" ht="20.100000000000001" customHeight="1" thickBot="1" x14ac:dyDescent="0.3">
      <c r="A56" s="227"/>
      <c r="B56" s="255"/>
      <c r="C56" s="466">
        <v>2</v>
      </c>
      <c r="D56" s="1385" t="s">
        <v>334</v>
      </c>
      <c r="E56" s="1386"/>
      <c r="F56" s="1386"/>
      <c r="G56" s="1386"/>
      <c r="H56" s="1386"/>
      <c r="I56" s="1386"/>
      <c r="J56" s="1386"/>
      <c r="K56" s="1386"/>
      <c r="L56" s="948">
        <f>intern!K343</f>
        <v>0</v>
      </c>
      <c r="M56" s="1547"/>
      <c r="N56" s="1548"/>
      <c r="O56" s="1402" t="s">
        <v>335</v>
      </c>
      <c r="P56" s="1403"/>
      <c r="Q56" s="1400">
        <v>800</v>
      </c>
      <c r="R56" s="1401"/>
      <c r="S56" s="1298">
        <f t="shared" ref="S56:S58" si="0">IF(M56&lt;&gt;"",M56*Q56,IF(ISNUMBER(L56),L56*Q56,0))</f>
        <v>0</v>
      </c>
      <c r="T56" s="1299"/>
      <c r="U56" s="227"/>
      <c r="W56" s="204"/>
      <c r="X56" s="501"/>
    </row>
    <row r="57" spans="1:24" ht="20.100000000000001" customHeight="1" thickBot="1" x14ac:dyDescent="0.3">
      <c r="A57" s="227"/>
      <c r="B57" s="255"/>
      <c r="C57" s="463">
        <v>3</v>
      </c>
      <c r="D57" s="1560" t="s">
        <v>336</v>
      </c>
      <c r="E57" s="1561"/>
      <c r="F57" s="1561"/>
      <c r="G57" s="1561"/>
      <c r="H57" s="1561"/>
      <c r="I57" s="1561"/>
      <c r="J57" s="1561"/>
      <c r="K57" s="1561"/>
      <c r="L57" s="948">
        <f>intern!K344</f>
        <v>0</v>
      </c>
      <c r="M57" s="1547"/>
      <c r="N57" s="1548"/>
      <c r="O57" s="1402" t="s">
        <v>335</v>
      </c>
      <c r="P57" s="1403"/>
      <c r="Q57" s="1400">
        <v>200</v>
      </c>
      <c r="R57" s="1401"/>
      <c r="S57" s="1539">
        <f t="shared" si="0"/>
        <v>0</v>
      </c>
      <c r="T57" s="1540"/>
      <c r="U57" s="227"/>
      <c r="W57" s="204"/>
      <c r="X57" s="501"/>
    </row>
    <row r="58" spans="1:24" ht="20.100000000000001" customHeight="1" x14ac:dyDescent="0.25">
      <c r="A58" s="227"/>
      <c r="B58" s="255"/>
      <c r="C58" s="464">
        <v>4</v>
      </c>
      <c r="D58" s="1562" t="s">
        <v>337</v>
      </c>
      <c r="E58" s="1563"/>
      <c r="F58" s="1563"/>
      <c r="G58" s="1563"/>
      <c r="H58" s="1563"/>
      <c r="I58" s="1563"/>
      <c r="J58" s="1563"/>
      <c r="K58" s="1563"/>
      <c r="L58" s="952">
        <f>intern!K345</f>
        <v>0</v>
      </c>
      <c r="M58" s="1549"/>
      <c r="N58" s="1550"/>
      <c r="O58" s="1543" t="s">
        <v>325</v>
      </c>
      <c r="P58" s="1544"/>
      <c r="Q58" s="1520">
        <v>15000</v>
      </c>
      <c r="R58" s="1521"/>
      <c r="S58" s="1541">
        <f t="shared" si="0"/>
        <v>0</v>
      </c>
      <c r="T58" s="1542"/>
      <c r="U58" s="227"/>
      <c r="W58" s="204"/>
      <c r="X58" s="501"/>
    </row>
    <row r="59" spans="1:24" ht="12" customHeight="1" x14ac:dyDescent="0.25">
      <c r="A59" s="227"/>
      <c r="B59" s="236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9"/>
      <c r="W59" s="204"/>
      <c r="X59" s="501"/>
    </row>
    <row r="60" spans="1:24" ht="24" customHeight="1" x14ac:dyDescent="0.25">
      <c r="A60" s="227"/>
      <c r="B60" s="706"/>
      <c r="C60" s="707" t="s">
        <v>338</v>
      </c>
      <c r="D60" s="428" t="s">
        <v>339</v>
      </c>
      <c r="E60" s="234"/>
      <c r="F60" s="234"/>
      <c r="G60" s="234"/>
      <c r="H60" s="234"/>
      <c r="I60" s="234"/>
      <c r="J60" s="234"/>
      <c r="K60" s="234"/>
      <c r="L60" s="234"/>
      <c r="M60" s="1398" t="s">
        <v>330</v>
      </c>
      <c r="N60" s="1397"/>
      <c r="O60" s="1396" t="s">
        <v>331</v>
      </c>
      <c r="P60" s="1397"/>
      <c r="Q60" s="1398" t="s">
        <v>332</v>
      </c>
      <c r="R60" s="1398"/>
      <c r="S60" s="1396" t="s">
        <v>401</v>
      </c>
      <c r="T60" s="1398"/>
      <c r="U60" s="429"/>
      <c r="W60" s="204"/>
      <c r="X60" s="501"/>
    </row>
    <row r="61" spans="1:24" ht="6" customHeight="1" x14ac:dyDescent="0.25">
      <c r="A61" s="227"/>
      <c r="B61" s="255"/>
      <c r="U61" s="227"/>
      <c r="W61" s="204"/>
      <c r="X61" s="501"/>
    </row>
    <row r="62" spans="1:24" ht="20.100000000000001" customHeight="1" x14ac:dyDescent="0.25">
      <c r="A62" s="227"/>
      <c r="B62" s="255"/>
      <c r="C62" s="465">
        <v>1</v>
      </c>
      <c r="D62" s="1564" t="s">
        <v>789</v>
      </c>
      <c r="E62" s="1565"/>
      <c r="F62" s="1565"/>
      <c r="G62" s="1565"/>
      <c r="H62" s="1565"/>
      <c r="I62" s="1565"/>
      <c r="J62" s="1565"/>
      <c r="K62" s="1565"/>
      <c r="L62" s="949">
        <f>intern!K349</f>
        <v>0</v>
      </c>
      <c r="M62" s="1554"/>
      <c r="N62" s="1555"/>
      <c r="O62" s="1556" t="s">
        <v>340</v>
      </c>
      <c r="P62" s="1557"/>
      <c r="Q62" s="1558">
        <v>1500</v>
      </c>
      <c r="R62" s="1559"/>
      <c r="S62" s="1292">
        <f t="shared" ref="S62" si="1">IF(M62&lt;&gt;"",M62*Q62,IF(ISNUMBER(L62),L62*Q62,0))</f>
        <v>0</v>
      </c>
      <c r="T62" s="1293"/>
      <c r="U62" s="227"/>
      <c r="W62" s="204"/>
      <c r="X62" s="501"/>
    </row>
    <row r="63" spans="1:24" ht="12" customHeight="1" x14ac:dyDescent="0.25">
      <c r="A63" s="227"/>
      <c r="B63" s="236"/>
      <c r="C63" s="237"/>
      <c r="D63" s="237"/>
      <c r="E63" s="237"/>
      <c r="F63" s="237"/>
      <c r="G63" s="237"/>
      <c r="H63" s="237"/>
      <c r="I63" s="237"/>
      <c r="J63" s="237"/>
      <c r="K63" s="237"/>
      <c r="L63" s="438"/>
      <c r="M63" s="237"/>
      <c r="N63" s="237"/>
      <c r="O63" s="237"/>
      <c r="P63" s="237"/>
      <c r="Q63" s="237"/>
      <c r="R63" s="237"/>
      <c r="S63" s="438"/>
      <c r="T63" s="438"/>
      <c r="U63" s="239"/>
      <c r="W63" s="204"/>
      <c r="X63" s="501"/>
    </row>
    <row r="64" spans="1:24" ht="24" customHeight="1" x14ac:dyDescent="0.25">
      <c r="A64" s="227"/>
      <c r="B64" s="706"/>
      <c r="C64" s="707" t="s">
        <v>341</v>
      </c>
      <c r="D64" s="428" t="s">
        <v>342</v>
      </c>
      <c r="E64" s="234"/>
      <c r="F64" s="234"/>
      <c r="G64" s="234"/>
      <c r="H64" s="234"/>
      <c r="I64" s="234"/>
      <c r="J64" s="234"/>
      <c r="K64" s="234"/>
      <c r="L64" s="234"/>
      <c r="M64" s="1398" t="s">
        <v>330</v>
      </c>
      <c r="N64" s="1397"/>
      <c r="O64" s="1396" t="s">
        <v>331</v>
      </c>
      <c r="P64" s="1397"/>
      <c r="Q64" s="1398" t="s">
        <v>332</v>
      </c>
      <c r="R64" s="1398"/>
      <c r="S64" s="1396" t="s">
        <v>401</v>
      </c>
      <c r="T64" s="1398"/>
      <c r="U64" s="429"/>
      <c r="W64" s="204"/>
      <c r="X64" s="501"/>
    </row>
    <row r="65" spans="1:24" ht="6" customHeight="1" x14ac:dyDescent="0.25">
      <c r="A65" s="227"/>
      <c r="B65" s="255"/>
      <c r="U65" s="227"/>
      <c r="W65" s="204"/>
      <c r="X65" s="501"/>
    </row>
    <row r="66" spans="1:24" ht="20.100000000000001" customHeight="1" thickBot="1" x14ac:dyDescent="0.3">
      <c r="A66" s="227"/>
      <c r="B66" s="255"/>
      <c r="C66" s="462">
        <v>1</v>
      </c>
      <c r="D66" s="1380" t="s">
        <v>343</v>
      </c>
      <c r="E66" s="1381"/>
      <c r="F66" s="1381"/>
      <c r="G66" s="1381"/>
      <c r="H66" s="1381"/>
      <c r="I66" s="1381"/>
      <c r="J66" s="1381"/>
      <c r="K66" s="1381"/>
      <c r="L66" s="948">
        <f>intern!K353</f>
        <v>0</v>
      </c>
      <c r="M66" s="1545"/>
      <c r="N66" s="1546"/>
      <c r="O66" s="1566" t="s">
        <v>325</v>
      </c>
      <c r="P66" s="1566"/>
      <c r="Q66" s="1582">
        <v>10000</v>
      </c>
      <c r="R66" s="1582"/>
      <c r="S66" s="1292">
        <f t="shared" ref="S66:S68" si="2">IF(M66&lt;&gt;"",M66*Q66,IF(ISNUMBER(L66),L66*Q66,0))</f>
        <v>0</v>
      </c>
      <c r="T66" s="1293"/>
      <c r="U66" s="227"/>
      <c r="W66" s="204"/>
      <c r="X66" s="501"/>
    </row>
    <row r="67" spans="1:24" ht="20.100000000000001" customHeight="1" thickBot="1" x14ac:dyDescent="0.3">
      <c r="A67" s="227"/>
      <c r="B67" s="255"/>
      <c r="C67" s="463">
        <v>2</v>
      </c>
      <c r="D67" s="1560" t="s">
        <v>344</v>
      </c>
      <c r="E67" s="1561"/>
      <c r="F67" s="1561"/>
      <c r="G67" s="1561"/>
      <c r="H67" s="1561"/>
      <c r="I67" s="1561"/>
      <c r="J67" s="1561"/>
      <c r="K67" s="1561"/>
      <c r="L67" s="948">
        <f>intern!K354</f>
        <v>0</v>
      </c>
      <c r="M67" s="1547"/>
      <c r="N67" s="1548"/>
      <c r="O67" s="1461" t="s">
        <v>325</v>
      </c>
      <c r="P67" s="1461"/>
      <c r="Q67" s="1459">
        <v>60000</v>
      </c>
      <c r="R67" s="1459"/>
      <c r="S67" s="1539">
        <f t="shared" si="2"/>
        <v>0</v>
      </c>
      <c r="T67" s="1540"/>
      <c r="U67" s="227"/>
      <c r="W67" s="204"/>
      <c r="X67" s="501"/>
    </row>
    <row r="68" spans="1:24" ht="20.100000000000001" customHeight="1" thickBot="1" x14ac:dyDescent="0.3">
      <c r="A68" s="227"/>
      <c r="B68" s="255"/>
      <c r="C68" s="463">
        <v>3</v>
      </c>
      <c r="D68" s="1560" t="s">
        <v>345</v>
      </c>
      <c r="E68" s="1561"/>
      <c r="F68" s="1561"/>
      <c r="G68" s="1561"/>
      <c r="H68" s="1561"/>
      <c r="I68" s="1561"/>
      <c r="J68" s="1561"/>
      <c r="K68" s="1561"/>
      <c r="L68" s="948">
        <f>intern!K355</f>
        <v>0</v>
      </c>
      <c r="M68" s="1547"/>
      <c r="N68" s="1548"/>
      <c r="O68" s="1461" t="s">
        <v>335</v>
      </c>
      <c r="P68" s="1461"/>
      <c r="Q68" s="1459">
        <v>90</v>
      </c>
      <c r="R68" s="1459"/>
      <c r="S68" s="1302">
        <f t="shared" si="2"/>
        <v>0</v>
      </c>
      <c r="T68" s="1303"/>
      <c r="U68" s="227"/>
      <c r="W68" s="204"/>
      <c r="X68" s="501"/>
    </row>
    <row r="69" spans="1:24" ht="20.100000000000001" customHeight="1" x14ac:dyDescent="0.25">
      <c r="A69" s="227"/>
      <c r="B69" s="255"/>
      <c r="C69" s="463">
        <v>4</v>
      </c>
      <c r="D69" s="1553" t="s">
        <v>346</v>
      </c>
      <c r="E69" s="1553"/>
      <c r="F69" s="1553"/>
      <c r="G69" s="1553"/>
      <c r="H69" s="1553"/>
      <c r="I69" s="1553"/>
      <c r="J69" s="1553"/>
      <c r="K69" s="1553"/>
      <c r="L69" s="1583"/>
      <c r="M69" s="1592">
        <v>0</v>
      </c>
      <c r="N69" s="1548"/>
      <c r="O69" s="1461" t="s">
        <v>325</v>
      </c>
      <c r="P69" s="1461"/>
      <c r="Q69" s="1459">
        <v>25000</v>
      </c>
      <c r="R69" s="1459"/>
      <c r="S69" s="1306">
        <f t="shared" ref="S69:S71" si="3">M69*Q69</f>
        <v>0</v>
      </c>
      <c r="T69" s="1307"/>
      <c r="U69" s="227"/>
      <c r="W69" s="204"/>
      <c r="X69" s="501"/>
    </row>
    <row r="70" spans="1:24" ht="20.100000000000001" customHeight="1" x14ac:dyDescent="0.25">
      <c r="A70" s="227"/>
      <c r="B70" s="255"/>
      <c r="C70" s="463">
        <v>5</v>
      </c>
      <c r="D70" s="1320" t="s">
        <v>589</v>
      </c>
      <c r="E70" s="1553"/>
      <c r="F70" s="1553"/>
      <c r="G70" s="1553"/>
      <c r="H70" s="1553"/>
      <c r="I70" s="1553"/>
      <c r="J70" s="1553"/>
      <c r="K70" s="1553"/>
      <c r="L70" s="1553"/>
      <c r="M70" s="1592">
        <v>0</v>
      </c>
      <c r="N70" s="1548"/>
      <c r="O70" s="1461" t="s">
        <v>325</v>
      </c>
      <c r="P70" s="1461"/>
      <c r="Q70" s="1459">
        <v>500</v>
      </c>
      <c r="R70" s="1459"/>
      <c r="S70" s="1306">
        <f t="shared" si="3"/>
        <v>0</v>
      </c>
      <c r="T70" s="1307"/>
      <c r="U70" s="227"/>
      <c r="W70" s="204"/>
      <c r="X70" s="501"/>
    </row>
    <row r="71" spans="1:24" ht="20.100000000000001" customHeight="1" x14ac:dyDescent="0.25">
      <c r="A71" s="227"/>
      <c r="B71" s="255"/>
      <c r="C71" s="464">
        <v>6</v>
      </c>
      <c r="D71" s="1552" t="s">
        <v>347</v>
      </c>
      <c r="E71" s="1552"/>
      <c r="F71" s="1552"/>
      <c r="G71" s="1552"/>
      <c r="H71" s="1552"/>
      <c r="I71" s="1552"/>
      <c r="J71" s="1552"/>
      <c r="K71" s="1552"/>
      <c r="L71" s="1552"/>
      <c r="M71" s="1593">
        <v>0</v>
      </c>
      <c r="N71" s="1550"/>
      <c r="O71" s="1551" t="s">
        <v>335</v>
      </c>
      <c r="P71" s="1551"/>
      <c r="Q71" s="1507">
        <v>500</v>
      </c>
      <c r="R71" s="1507"/>
      <c r="S71" s="1315">
        <f t="shared" si="3"/>
        <v>0</v>
      </c>
      <c r="T71" s="1316"/>
      <c r="U71" s="227"/>
      <c r="W71" s="204"/>
      <c r="X71" s="501"/>
    </row>
    <row r="72" spans="1:24" ht="12" customHeight="1" x14ac:dyDescent="0.25">
      <c r="A72" s="227"/>
      <c r="B72" s="236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9"/>
      <c r="W72" s="204"/>
      <c r="X72" s="501"/>
    </row>
    <row r="73" spans="1:24" ht="24" customHeight="1" x14ac:dyDescent="0.25">
      <c r="A73" s="227"/>
      <c r="B73" s="706"/>
      <c r="C73" s="707" t="s">
        <v>348</v>
      </c>
      <c r="D73" s="428" t="s">
        <v>409</v>
      </c>
      <c r="E73" s="234"/>
      <c r="F73" s="234"/>
      <c r="G73" s="234"/>
      <c r="H73" s="234"/>
      <c r="I73" s="234"/>
      <c r="J73" s="234"/>
      <c r="K73" s="234"/>
      <c r="L73" s="234"/>
      <c r="M73" s="1398" t="s">
        <v>330</v>
      </c>
      <c r="N73" s="1397"/>
      <c r="O73" s="1396" t="s">
        <v>331</v>
      </c>
      <c r="P73" s="1397"/>
      <c r="Q73" s="1398" t="s">
        <v>332</v>
      </c>
      <c r="R73" s="1398"/>
      <c r="S73" s="1396" t="s">
        <v>401</v>
      </c>
      <c r="T73" s="1398"/>
      <c r="U73" s="429"/>
      <c r="W73" s="204"/>
      <c r="X73" s="501"/>
    </row>
    <row r="74" spans="1:24" ht="6" customHeight="1" x14ac:dyDescent="0.25">
      <c r="A74" s="227"/>
      <c r="B74" s="255"/>
      <c r="U74" s="227"/>
      <c r="W74" s="204"/>
      <c r="X74" s="501"/>
    </row>
    <row r="75" spans="1:24" ht="20.100000000000001" customHeight="1" x14ac:dyDescent="0.25">
      <c r="A75" s="227"/>
      <c r="B75" s="255"/>
      <c r="C75" s="462">
        <v>0</v>
      </c>
      <c r="D75" s="1364" t="s">
        <v>404</v>
      </c>
      <c r="E75" s="1364"/>
      <c r="F75" s="1364"/>
      <c r="G75" s="1364"/>
      <c r="H75" s="1364"/>
      <c r="I75" s="1364"/>
      <c r="J75" s="1364"/>
      <c r="K75" s="1364"/>
      <c r="L75" s="1365"/>
      <c r="M75" s="433"/>
      <c r="N75" s="433"/>
      <c r="O75" s="1418"/>
      <c r="P75" s="1484"/>
      <c r="Q75" s="1508"/>
      <c r="R75" s="1509"/>
      <c r="S75" s="1369">
        <f>SUM(S47,S55:T58,S62,S66:T71)</f>
        <v>0</v>
      </c>
      <c r="T75" s="1370"/>
      <c r="U75" s="227"/>
      <c r="W75" s="204"/>
      <c r="X75" s="501"/>
    </row>
    <row r="76" spans="1:24" ht="20.100000000000001" customHeight="1" x14ac:dyDescent="0.25">
      <c r="A76" s="227"/>
      <c r="B76" s="255"/>
      <c r="C76" s="463">
        <v>1</v>
      </c>
      <c r="D76" s="1320" t="s">
        <v>349</v>
      </c>
      <c r="E76" s="1320"/>
      <c r="F76" s="1320"/>
      <c r="G76" s="1320"/>
      <c r="H76" s="1320"/>
      <c r="I76" s="1320"/>
      <c r="J76" s="1320"/>
      <c r="K76" s="1320"/>
      <c r="L76" s="1320"/>
      <c r="M76" s="1377" t="s">
        <v>405</v>
      </c>
      <c r="N76" s="1378"/>
      <c r="O76" s="1379" t="s">
        <v>406</v>
      </c>
      <c r="P76" s="1379"/>
      <c r="Q76" s="1314">
        <v>0.1</v>
      </c>
      <c r="R76" s="1314"/>
      <c r="S76" s="1306">
        <f>S75*Q76*IF(M76="ja",1,0)</f>
        <v>0</v>
      </c>
      <c r="T76" s="1307"/>
      <c r="U76" s="227"/>
      <c r="W76" s="204"/>
      <c r="X76" s="501"/>
    </row>
    <row r="77" spans="1:24" ht="20.100000000000001" customHeight="1" x14ac:dyDescent="0.25">
      <c r="A77" s="227"/>
      <c r="B77" s="255"/>
      <c r="C77" s="463">
        <v>2</v>
      </c>
      <c r="D77" s="1320" t="s">
        <v>350</v>
      </c>
      <c r="E77" s="1320"/>
      <c r="F77" s="1320"/>
      <c r="G77" s="1320"/>
      <c r="H77" s="1320"/>
      <c r="I77" s="1320"/>
      <c r="J77" s="1320"/>
      <c r="K77" s="1320"/>
      <c r="L77" s="1320"/>
      <c r="M77" s="1377" t="s">
        <v>405</v>
      </c>
      <c r="N77" s="1378"/>
      <c r="O77" s="1379" t="s">
        <v>406</v>
      </c>
      <c r="P77" s="1379"/>
      <c r="Q77" s="1314">
        <v>0.08</v>
      </c>
      <c r="R77" s="1314"/>
      <c r="S77" s="1306">
        <f>S75*Q77*IF(M77="ja",1,0)</f>
        <v>0</v>
      </c>
      <c r="T77" s="1307"/>
      <c r="U77" s="227"/>
      <c r="W77" s="204"/>
      <c r="X77" s="501"/>
    </row>
    <row r="78" spans="1:24" ht="20.100000000000001" customHeight="1" x14ac:dyDescent="0.25">
      <c r="A78" s="227"/>
      <c r="B78" s="255"/>
      <c r="C78" s="464">
        <v>3</v>
      </c>
      <c r="D78" s="1321" t="s">
        <v>497</v>
      </c>
      <c r="E78" s="1321"/>
      <c r="F78" s="1321"/>
      <c r="G78" s="1321"/>
      <c r="H78" s="1321"/>
      <c r="I78" s="1321"/>
      <c r="J78" s="1321"/>
      <c r="K78" s="1321"/>
      <c r="L78" s="1322"/>
      <c r="M78" s="434"/>
      <c r="N78" s="434"/>
      <c r="O78" s="1317" t="s">
        <v>351</v>
      </c>
      <c r="P78" s="1318"/>
      <c r="Q78" s="1319">
        <v>0</v>
      </c>
      <c r="R78" s="1319"/>
      <c r="S78" s="1315">
        <f>Q78</f>
        <v>0</v>
      </c>
      <c r="T78" s="1316"/>
      <c r="U78" s="227"/>
      <c r="W78" s="204"/>
      <c r="X78" s="501"/>
    </row>
    <row r="79" spans="1:24" ht="20.100000000000001" customHeight="1" x14ac:dyDescent="0.25">
      <c r="A79" s="227"/>
      <c r="B79" s="255"/>
      <c r="C79" s="466" t="s">
        <v>408</v>
      </c>
      <c r="D79" s="1503" t="s">
        <v>407</v>
      </c>
      <c r="E79" s="1503"/>
      <c r="F79" s="1503"/>
      <c r="G79" s="1503"/>
      <c r="H79" s="1503"/>
      <c r="I79" s="1503"/>
      <c r="J79" s="1503"/>
      <c r="K79" s="1503"/>
      <c r="L79" s="1504"/>
      <c r="M79" s="309"/>
      <c r="N79" s="309"/>
      <c r="O79" s="467"/>
      <c r="P79" s="467"/>
      <c r="Q79" s="468"/>
      <c r="R79" s="469"/>
      <c r="S79" s="1505">
        <f>SUM(S75:T78)</f>
        <v>0</v>
      </c>
      <c r="T79" s="1506"/>
      <c r="U79" s="361"/>
      <c r="W79" s="204"/>
      <c r="X79" s="501"/>
    </row>
    <row r="80" spans="1:24" ht="20.100000000000001" customHeight="1" x14ac:dyDescent="0.25">
      <c r="A80" s="227"/>
      <c r="B80" s="255"/>
      <c r="C80" s="464">
        <v>4</v>
      </c>
      <c r="D80" s="1321" t="s">
        <v>410</v>
      </c>
      <c r="E80" s="1321"/>
      <c r="F80" s="1321"/>
      <c r="G80" s="1321"/>
      <c r="H80" s="1321"/>
      <c r="I80" s="1321"/>
      <c r="J80" s="1321"/>
      <c r="K80" s="1321"/>
      <c r="L80" s="1321"/>
      <c r="M80" s="1315">
        <f>S79</f>
        <v>0</v>
      </c>
      <c r="N80" s="1315"/>
      <c r="O80" s="1366" t="s">
        <v>412</v>
      </c>
      <c r="P80" s="1367"/>
      <c r="Q80" s="1368">
        <v>0.25</v>
      </c>
      <c r="R80" s="1368"/>
      <c r="S80" s="1315">
        <f>M80*Q80</f>
        <v>0</v>
      </c>
      <c r="T80" s="1316"/>
      <c r="U80" s="227"/>
      <c r="W80" s="204"/>
      <c r="X80" s="501"/>
    </row>
    <row r="81" spans="1:24" ht="12" customHeight="1" x14ac:dyDescent="0.25">
      <c r="A81" s="227"/>
      <c r="B81" s="236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9"/>
      <c r="W81" s="204"/>
      <c r="X81" s="501"/>
    </row>
    <row r="82" spans="1:24" ht="24" customHeight="1" x14ac:dyDescent="0.25">
      <c r="A82" s="227"/>
      <c r="B82" s="706"/>
      <c r="C82" s="707" t="s">
        <v>352</v>
      </c>
      <c r="D82" s="428" t="s">
        <v>353</v>
      </c>
      <c r="E82" s="234"/>
      <c r="F82" s="234"/>
      <c r="G82" s="234"/>
      <c r="H82" s="234"/>
      <c r="I82" s="234"/>
      <c r="J82" s="234"/>
      <c r="K82" s="234"/>
      <c r="L82" s="234"/>
      <c r="M82" s="1398" t="s">
        <v>330</v>
      </c>
      <c r="N82" s="1397"/>
      <c r="O82" s="1396" t="s">
        <v>331</v>
      </c>
      <c r="P82" s="1397"/>
      <c r="Q82" s="1398" t="s">
        <v>332</v>
      </c>
      <c r="R82" s="1398"/>
      <c r="S82" s="1396" t="s">
        <v>401</v>
      </c>
      <c r="T82" s="1398"/>
      <c r="U82" s="429"/>
      <c r="W82" s="204"/>
      <c r="X82" s="501"/>
    </row>
    <row r="83" spans="1:24" ht="6" customHeight="1" x14ac:dyDescent="0.25">
      <c r="A83" s="227"/>
      <c r="B83" s="255"/>
      <c r="U83" s="227"/>
      <c r="W83" s="204"/>
      <c r="X83" s="501"/>
    </row>
    <row r="84" spans="1:24" ht="20.100000000000001" customHeight="1" x14ac:dyDescent="0.25">
      <c r="A84" s="227"/>
      <c r="B84" s="255"/>
      <c r="C84" s="462">
        <v>0</v>
      </c>
      <c r="D84" s="1364" t="s">
        <v>411</v>
      </c>
      <c r="E84" s="1364"/>
      <c r="F84" s="1364"/>
      <c r="G84" s="1364"/>
      <c r="H84" s="1364"/>
      <c r="I84" s="1364"/>
      <c r="J84" s="1364"/>
      <c r="K84" s="1364"/>
      <c r="L84" s="1365"/>
      <c r="M84" s="433"/>
      <c r="N84" s="433"/>
      <c r="O84" s="433"/>
      <c r="P84" s="433"/>
      <c r="Q84" s="433"/>
      <c r="R84" s="435"/>
      <c r="S84" s="1369">
        <f>SUM(S79:T80)</f>
        <v>0</v>
      </c>
      <c r="T84" s="1370"/>
      <c r="U84" s="227"/>
      <c r="W84" s="204"/>
      <c r="X84" s="501"/>
    </row>
    <row r="85" spans="1:24" ht="20.100000000000001" customHeight="1" x14ac:dyDescent="0.25">
      <c r="A85" s="227"/>
      <c r="B85" s="255"/>
      <c r="C85" s="463">
        <v>1</v>
      </c>
      <c r="D85" s="1320" t="s">
        <v>354</v>
      </c>
      <c r="E85" s="1320"/>
      <c r="F85" s="1320"/>
      <c r="G85" s="1320"/>
      <c r="H85" s="1320"/>
      <c r="I85" s="1320"/>
      <c r="J85" s="1320"/>
      <c r="K85" s="1320"/>
      <c r="L85" s="1320"/>
      <c r="M85" s="1377" t="s">
        <v>405</v>
      </c>
      <c r="N85" s="1378"/>
      <c r="O85" s="1379" t="s">
        <v>406</v>
      </c>
      <c r="P85" s="1379"/>
      <c r="Q85" s="1314">
        <v>0.19</v>
      </c>
      <c r="R85" s="1314"/>
      <c r="S85" s="1306">
        <f>S84*Q85*IF(M85="ja",1,0)</f>
        <v>0</v>
      </c>
      <c r="T85" s="1307"/>
      <c r="U85" s="227"/>
      <c r="W85" s="204"/>
      <c r="X85" s="501"/>
    </row>
    <row r="86" spans="1:24" ht="20.100000000000001" customHeight="1" x14ac:dyDescent="0.25">
      <c r="A86" s="227"/>
      <c r="B86" s="255"/>
      <c r="C86" s="464">
        <v>2</v>
      </c>
      <c r="D86" s="1321" t="s">
        <v>355</v>
      </c>
      <c r="E86" s="1321"/>
      <c r="F86" s="1321"/>
      <c r="G86" s="1321"/>
      <c r="H86" s="1321"/>
      <c r="I86" s="1321"/>
      <c r="J86" s="1321"/>
      <c r="K86" s="1321"/>
      <c r="L86" s="1322"/>
      <c r="M86" s="434"/>
      <c r="N86" s="434"/>
      <c r="O86" s="1317" t="s">
        <v>351</v>
      </c>
      <c r="P86" s="1318"/>
      <c r="Q86" s="1319">
        <v>0</v>
      </c>
      <c r="R86" s="1319"/>
      <c r="S86" s="1315">
        <f>Q86</f>
        <v>0</v>
      </c>
      <c r="T86" s="1316"/>
      <c r="U86" s="227"/>
      <c r="W86" s="204"/>
      <c r="X86" s="501"/>
    </row>
    <row r="87" spans="1:24" ht="12" customHeight="1" x14ac:dyDescent="0.25">
      <c r="A87" s="227"/>
      <c r="B87" s="255"/>
      <c r="U87" s="227"/>
      <c r="W87" s="204"/>
      <c r="X87" s="501"/>
    </row>
    <row r="88" spans="1:24" ht="24" customHeight="1" thickBot="1" x14ac:dyDescent="0.3">
      <c r="A88" s="227"/>
      <c r="B88" s="255"/>
      <c r="C88" s="432"/>
      <c r="D88" s="1362" t="s">
        <v>356</v>
      </c>
      <c r="E88" s="1362"/>
      <c r="F88" s="1362"/>
      <c r="G88" s="1362"/>
      <c r="H88" s="1362"/>
      <c r="I88" s="1362"/>
      <c r="J88" s="1362"/>
      <c r="K88" s="1362"/>
      <c r="L88" s="1362"/>
      <c r="M88" s="432"/>
      <c r="N88" s="432"/>
      <c r="O88" s="432"/>
      <c r="P88" s="432"/>
      <c r="Q88" s="432"/>
      <c r="R88" s="432"/>
      <c r="S88" s="1360">
        <f>ROUND(SUM(S84:T86),0)</f>
        <v>0</v>
      </c>
      <c r="T88" s="1360"/>
      <c r="U88" s="227"/>
      <c r="W88" s="204"/>
      <c r="X88" s="501"/>
    </row>
    <row r="89" spans="1:24" ht="24" customHeight="1" thickBot="1" x14ac:dyDescent="0.3">
      <c r="A89" s="227"/>
      <c r="B89" s="255"/>
      <c r="C89" s="986"/>
      <c r="D89" s="1363" t="s">
        <v>897</v>
      </c>
      <c r="E89" s="1363"/>
      <c r="F89" s="1363"/>
      <c r="G89" s="1363"/>
      <c r="H89" s="1363"/>
      <c r="I89" s="1363"/>
      <c r="J89" s="1363"/>
      <c r="K89" s="1363"/>
      <c r="L89" s="1363"/>
      <c r="M89" s="986"/>
      <c r="N89" s="986"/>
      <c r="O89" s="986"/>
      <c r="P89" s="986"/>
      <c r="Q89" s="986"/>
      <c r="R89" s="986"/>
      <c r="S89" s="1361" t="str">
        <f>IFERROR(S88/M47,"–––")</f>
        <v>–––</v>
      </c>
      <c r="T89" s="1361"/>
      <c r="U89" s="227"/>
      <c r="W89" s="204"/>
      <c r="X89" s="501"/>
    </row>
    <row r="90" spans="1:24" ht="24" customHeight="1" x14ac:dyDescent="0.25">
      <c r="B90" s="255"/>
      <c r="C90" s="987"/>
      <c r="D90" s="1584" t="s">
        <v>898</v>
      </c>
      <c r="E90" s="1584"/>
      <c r="F90" s="1584"/>
      <c r="G90" s="1584"/>
      <c r="H90" s="1584"/>
      <c r="I90" s="1584"/>
      <c r="J90" s="1584"/>
      <c r="K90" s="1584"/>
      <c r="L90" s="1584"/>
      <c r="M90" s="991" t="s">
        <v>27</v>
      </c>
      <c r="N90" s="991" t="s">
        <v>67</v>
      </c>
      <c r="O90" s="991" t="s">
        <v>67</v>
      </c>
      <c r="P90" s="991" t="s">
        <v>67</v>
      </c>
      <c r="Q90" s="991" t="s">
        <v>67</v>
      </c>
      <c r="R90" s="991" t="s">
        <v>67</v>
      </c>
      <c r="S90" s="1585" t="str">
        <f>IFERROR(ROUND(S75/M47,0),"–––")</f>
        <v>–––</v>
      </c>
      <c r="T90" s="1585"/>
      <c r="U90" s="227"/>
      <c r="W90" s="204"/>
      <c r="X90" s="501"/>
    </row>
    <row r="91" spans="1:24" ht="12" customHeight="1" thickBot="1" x14ac:dyDescent="0.3">
      <c r="B91" s="256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1"/>
      <c r="W91" s="204"/>
      <c r="X91" s="501"/>
    </row>
    <row r="92" spans="1:24" ht="18" customHeight="1" thickBot="1" x14ac:dyDescent="0.3">
      <c r="B92" s="359"/>
      <c r="C92" s="359"/>
      <c r="D92" s="359"/>
      <c r="E92" s="359"/>
      <c r="F92" s="359"/>
      <c r="G92" s="359"/>
      <c r="H92" s="359"/>
      <c r="I92" s="359"/>
      <c r="J92" s="359"/>
      <c r="K92" s="359"/>
      <c r="L92" s="359"/>
      <c r="M92" s="990" t="s">
        <v>27</v>
      </c>
      <c r="N92" s="359"/>
      <c r="O92" s="359"/>
      <c r="P92" s="359"/>
      <c r="Q92" s="359"/>
      <c r="R92" s="359"/>
      <c r="S92" s="359"/>
      <c r="T92" s="359"/>
      <c r="U92" s="359"/>
      <c r="W92" s="204"/>
      <c r="X92" s="501"/>
    </row>
    <row r="93" spans="1:24" ht="32.1" customHeight="1" x14ac:dyDescent="0.25">
      <c r="A93" s="227"/>
      <c r="B93" s="423"/>
      <c r="C93" s="424" t="s">
        <v>358</v>
      </c>
      <c r="D93" s="425"/>
      <c r="E93" s="425"/>
      <c r="F93" s="425"/>
      <c r="G93" s="425"/>
      <c r="H93" s="425"/>
      <c r="I93" s="425"/>
      <c r="J93" s="425"/>
      <c r="K93" s="425"/>
      <c r="L93" s="425"/>
      <c r="M93" s="993" t="s">
        <v>27</v>
      </c>
      <c r="N93" s="1413" t="s">
        <v>830</v>
      </c>
      <c r="O93" s="1413"/>
      <c r="P93" s="1413"/>
      <c r="Q93" s="1413"/>
      <c r="R93" s="1413"/>
      <c r="S93" s="1413"/>
      <c r="T93" s="425"/>
      <c r="U93" s="426"/>
      <c r="V93" s="255"/>
      <c r="W93" s="204"/>
      <c r="X93" s="501"/>
    </row>
    <row r="94" spans="1:24" ht="24" customHeight="1" x14ac:dyDescent="0.25">
      <c r="A94" s="227"/>
      <c r="B94" s="706"/>
      <c r="C94" s="707" t="s">
        <v>359</v>
      </c>
      <c r="D94" s="428" t="s">
        <v>360</v>
      </c>
      <c r="E94" s="234"/>
      <c r="F94" s="234"/>
      <c r="G94" s="234"/>
      <c r="H94" s="234"/>
      <c r="I94" s="234"/>
      <c r="J94" s="234"/>
      <c r="K94" s="437"/>
      <c r="L94" s="437"/>
      <c r="M94" s="992" t="s">
        <v>27</v>
      </c>
      <c r="N94" s="1567" t="str">
        <f>"      ↓      Fördersumme je Stellplatz überschreiben mit: " &amp; S90</f>
        <v xml:space="preserve">      ↓      Fördersumme je Stellplatz überschreiben mit: –––</v>
      </c>
      <c r="O94" s="1567"/>
      <c r="P94" s="1567"/>
      <c r="Q94" s="1567"/>
      <c r="R94" s="1567"/>
      <c r="S94" s="1567"/>
      <c r="T94" s="436"/>
      <c r="U94" s="427"/>
      <c r="W94" s="204"/>
      <c r="X94" s="501"/>
    </row>
    <row r="95" spans="1:24" ht="6" customHeight="1" x14ac:dyDescent="0.25">
      <c r="A95" s="227"/>
      <c r="B95" s="255"/>
      <c r="U95" s="227"/>
      <c r="W95" s="204"/>
      <c r="X95" s="501"/>
    </row>
    <row r="96" spans="1:24" ht="24" customHeight="1" x14ac:dyDescent="0.25">
      <c r="A96" s="227"/>
      <c r="B96" s="255"/>
      <c r="C96" s="462">
        <v>1</v>
      </c>
      <c r="D96" s="1577" t="s">
        <v>795</v>
      </c>
      <c r="E96" s="1577"/>
      <c r="F96" s="1577"/>
      <c r="G96" s="1577"/>
      <c r="H96" s="1577"/>
      <c r="I96" s="1577"/>
      <c r="J96" s="1577"/>
      <c r="K96" s="1577"/>
      <c r="L96" s="1578"/>
      <c r="M96" s="989" t="s">
        <v>27</v>
      </c>
      <c r="N96" s="988" t="s">
        <v>899</v>
      </c>
      <c r="O96" s="1310" t="s">
        <v>906</v>
      </c>
      <c r="P96" s="1310"/>
      <c r="Q96" s="1310"/>
      <c r="R96" s="1310"/>
      <c r="S96" s="1310"/>
      <c r="T96" s="1311"/>
      <c r="U96" s="227"/>
      <c r="W96" s="204"/>
      <c r="X96" s="501"/>
    </row>
    <row r="97" spans="1:24" ht="18" customHeight="1" x14ac:dyDescent="0.25">
      <c r="A97" s="227"/>
      <c r="B97" s="255"/>
      <c r="C97" s="1335" t="s">
        <v>361</v>
      </c>
      <c r="D97" s="1325" t="s">
        <v>817</v>
      </c>
      <c r="E97" s="1326"/>
      <c r="F97" s="1326"/>
      <c r="G97" s="1326"/>
      <c r="H97" s="1326"/>
      <c r="I97" s="1341" t="s">
        <v>847</v>
      </c>
      <c r="J97" s="1341"/>
      <c r="K97" s="1341"/>
      <c r="L97" s="1341"/>
      <c r="M97" s="1308"/>
      <c r="N97" s="1309"/>
      <c r="O97" s="1312"/>
      <c r="P97" s="1312"/>
      <c r="Q97" s="1312"/>
      <c r="R97" s="1312"/>
      <c r="S97" s="1312"/>
      <c r="T97" s="1313"/>
      <c r="U97" s="227"/>
      <c r="W97" s="204"/>
      <c r="X97" s="501"/>
    </row>
    <row r="98" spans="1:24" ht="18" customHeight="1" x14ac:dyDescent="0.25">
      <c r="A98" s="227"/>
      <c r="B98" s="255"/>
      <c r="C98" s="1336"/>
      <c r="D98" s="1495" t="s">
        <v>800</v>
      </c>
      <c r="E98" s="1495"/>
      <c r="F98" s="1495"/>
      <c r="G98" s="1495"/>
      <c r="H98" s="1496"/>
      <c r="I98" s="226"/>
      <c r="J98" s="226"/>
      <c r="K98" s="1331">
        <f>IF(VA_KOSTENANALYSE&lt;2,(SUM(N42:N46)-SUM(N48:N50)),(SUM(M42:M46)-SUM(M48:M50)))</f>
        <v>0</v>
      </c>
      <c r="L98" s="1332"/>
      <c r="M98" s="1493">
        <v>1100</v>
      </c>
      <c r="N98" s="1494"/>
      <c r="O98" s="1306">
        <f>K98*M98</f>
        <v>0</v>
      </c>
      <c r="P98" s="1306"/>
      <c r="Q98" s="1485">
        <v>0.8</v>
      </c>
      <c r="R98" s="1485"/>
      <c r="S98" s="1306">
        <f>O98*$Q$98</f>
        <v>0</v>
      </c>
      <c r="T98" s="1307"/>
      <c r="U98" s="227"/>
      <c r="W98" s="204"/>
      <c r="X98" s="501"/>
    </row>
    <row r="99" spans="1:24" ht="18" customHeight="1" x14ac:dyDescent="0.25">
      <c r="A99" s="227"/>
      <c r="B99" s="255"/>
      <c r="C99" s="1336"/>
      <c r="D99" s="1495" t="s">
        <v>791</v>
      </c>
      <c r="E99" s="1495"/>
      <c r="F99" s="1495"/>
      <c r="G99" s="1495"/>
      <c r="H99" s="1496"/>
      <c r="I99" s="226"/>
      <c r="J99" s="226"/>
      <c r="K99" s="1331">
        <f>IF(VA_KOSTENANALYSE&lt;2,N48,M48)</f>
        <v>0</v>
      </c>
      <c r="L99" s="1332"/>
      <c r="M99" s="1493">
        <v>1800</v>
      </c>
      <c r="N99" s="1494"/>
      <c r="O99" s="1306">
        <f t="shared" ref="O99:O101" si="4">K99*M99</f>
        <v>0</v>
      </c>
      <c r="P99" s="1306"/>
      <c r="Q99" s="1485"/>
      <c r="R99" s="1485"/>
      <c r="S99" s="1306">
        <f t="shared" ref="S99:S101" si="5">O99*$Q$98</f>
        <v>0</v>
      </c>
      <c r="T99" s="1307"/>
      <c r="U99" s="227"/>
      <c r="W99" s="204"/>
      <c r="X99" s="501"/>
    </row>
    <row r="100" spans="1:24" ht="18" customHeight="1" x14ac:dyDescent="0.25">
      <c r="A100" s="227"/>
      <c r="B100" s="255"/>
      <c r="C100" s="1336"/>
      <c r="D100" s="1495" t="s">
        <v>792</v>
      </c>
      <c r="E100" s="1495"/>
      <c r="F100" s="1495"/>
      <c r="G100" s="1495"/>
      <c r="H100" s="1496"/>
      <c r="I100" s="226"/>
      <c r="J100" s="226"/>
      <c r="K100" s="1331">
        <f>IF(VA_KOSTENANALYSE&lt;2,N49,M49)</f>
        <v>0</v>
      </c>
      <c r="L100" s="1332"/>
      <c r="M100" s="1493">
        <v>1800</v>
      </c>
      <c r="N100" s="1494"/>
      <c r="O100" s="1306">
        <f t="shared" si="4"/>
        <v>0</v>
      </c>
      <c r="P100" s="1306"/>
      <c r="Q100" s="1485"/>
      <c r="R100" s="1485"/>
      <c r="S100" s="1306">
        <f t="shared" si="5"/>
        <v>0</v>
      </c>
      <c r="T100" s="1307"/>
      <c r="U100" s="227"/>
      <c r="W100" s="204"/>
      <c r="X100" s="501"/>
    </row>
    <row r="101" spans="1:24" ht="18" customHeight="1" x14ac:dyDescent="0.25">
      <c r="A101" s="227"/>
      <c r="B101" s="255"/>
      <c r="C101" s="1337"/>
      <c r="D101" s="1497" t="s">
        <v>793</v>
      </c>
      <c r="E101" s="1497"/>
      <c r="F101" s="1497"/>
      <c r="G101" s="1497"/>
      <c r="H101" s="1498"/>
      <c r="I101" s="924"/>
      <c r="J101" s="924"/>
      <c r="K101" s="1333">
        <f>IF(VA_KOSTENANALYSE&lt;2,N50,M50)</f>
        <v>0</v>
      </c>
      <c r="L101" s="1334"/>
      <c r="M101" s="1489">
        <v>3000</v>
      </c>
      <c r="N101" s="1490"/>
      <c r="O101" s="1306">
        <f t="shared" si="4"/>
        <v>0</v>
      </c>
      <c r="P101" s="1306"/>
      <c r="Q101" s="1485"/>
      <c r="R101" s="1485"/>
      <c r="S101" s="1306">
        <f t="shared" si="5"/>
        <v>0</v>
      </c>
      <c r="T101" s="1307"/>
      <c r="U101" s="227"/>
      <c r="W101" s="204"/>
      <c r="X101" s="501"/>
    </row>
    <row r="102" spans="1:24" ht="18" customHeight="1" x14ac:dyDescent="0.25">
      <c r="A102" s="227"/>
      <c r="B102" s="255"/>
      <c r="C102" s="1335" t="s">
        <v>362</v>
      </c>
      <c r="D102" s="1491" t="s">
        <v>826</v>
      </c>
      <c r="E102" s="1492"/>
      <c r="F102" s="1492"/>
      <c r="G102" s="1492"/>
      <c r="H102" s="1492"/>
      <c r="I102" s="1492"/>
      <c r="J102" s="1492"/>
      <c r="K102" s="1492"/>
      <c r="L102" s="1492"/>
      <c r="M102" s="226"/>
      <c r="N102" s="226"/>
      <c r="O102" s="1354"/>
      <c r="P102" s="1354"/>
      <c r="Q102" s="1485"/>
      <c r="R102" s="1485"/>
      <c r="S102" s="1298">
        <f>O102*$Q$98</f>
        <v>0</v>
      </c>
      <c r="T102" s="1299"/>
      <c r="U102" s="227"/>
      <c r="W102" s="204"/>
      <c r="X102" s="501"/>
    </row>
    <row r="103" spans="1:24" ht="18" customHeight="1" x14ac:dyDescent="0.25">
      <c r="A103" s="227"/>
      <c r="B103" s="255"/>
      <c r="C103" s="1337"/>
      <c r="D103" s="1342" t="s">
        <v>821</v>
      </c>
      <c r="E103" s="1343"/>
      <c r="F103" s="1343"/>
      <c r="G103" s="1343"/>
      <c r="H103" s="1343"/>
      <c r="I103" s="1343"/>
      <c r="J103" s="1343"/>
      <c r="K103" s="1343"/>
      <c r="L103" s="1343"/>
      <c r="M103" s="1343"/>
      <c r="N103" s="1343"/>
      <c r="O103" s="1354"/>
      <c r="P103" s="1354"/>
      <c r="Q103" s="1485"/>
      <c r="R103" s="1485"/>
      <c r="S103" s="1300"/>
      <c r="T103" s="1301"/>
      <c r="U103" s="227"/>
      <c r="W103" s="204"/>
      <c r="X103" s="501"/>
    </row>
    <row r="104" spans="1:24" ht="18" customHeight="1" x14ac:dyDescent="0.25">
      <c r="A104" s="227"/>
      <c r="B104" s="255"/>
      <c r="C104" s="1338" t="s">
        <v>794</v>
      </c>
      <c r="D104" s="1352" t="s">
        <v>819</v>
      </c>
      <c r="E104" s="1353"/>
      <c r="F104" s="1353"/>
      <c r="G104" s="1353"/>
      <c r="H104" s="1353"/>
      <c r="I104" s="921"/>
      <c r="J104" s="921"/>
      <c r="K104" s="922"/>
      <c r="L104" s="922"/>
      <c r="M104" s="925"/>
      <c r="N104" s="925"/>
      <c r="O104" s="1306">
        <f>SUM(O98:P103)</f>
        <v>0</v>
      </c>
      <c r="P104" s="1306"/>
      <c r="Q104" s="1487">
        <v>0.15</v>
      </c>
      <c r="R104" s="1487"/>
      <c r="S104" s="1298">
        <f>O104*Q104</f>
        <v>0</v>
      </c>
      <c r="T104" s="1299"/>
      <c r="U104" s="227"/>
      <c r="W104" s="204"/>
      <c r="X104" s="501"/>
    </row>
    <row r="105" spans="1:24" ht="18" customHeight="1" x14ac:dyDescent="0.25">
      <c r="A105" s="227"/>
      <c r="B105" s="255"/>
      <c r="C105" s="1339"/>
      <c r="D105" s="1342" t="s">
        <v>828</v>
      </c>
      <c r="E105" s="1343"/>
      <c r="F105" s="1343"/>
      <c r="G105" s="1343"/>
      <c r="H105" s="1343"/>
      <c r="I105" s="1343"/>
      <c r="J105" s="1343"/>
      <c r="K105" s="1343"/>
      <c r="L105" s="1343"/>
      <c r="M105" s="1343"/>
      <c r="N105" s="1347"/>
      <c r="O105" s="1306"/>
      <c r="P105" s="1306"/>
      <c r="Q105" s="1487"/>
      <c r="R105" s="1487"/>
      <c r="S105" s="1300"/>
      <c r="T105" s="1301"/>
      <c r="U105" s="227"/>
      <c r="W105" s="204"/>
      <c r="X105" s="501"/>
    </row>
    <row r="106" spans="1:24" ht="18" customHeight="1" x14ac:dyDescent="0.25">
      <c r="A106" s="227"/>
      <c r="B106" s="255"/>
      <c r="C106" s="1335" t="s">
        <v>820</v>
      </c>
      <c r="D106" s="1352" t="s">
        <v>822</v>
      </c>
      <c r="E106" s="1353"/>
      <c r="F106" s="1353"/>
      <c r="G106" s="1353"/>
      <c r="H106" s="1353"/>
      <c r="I106" s="921"/>
      <c r="J106" s="921"/>
      <c r="K106" s="922"/>
      <c r="L106" s="926"/>
      <c r="M106" s="1499"/>
      <c r="N106" s="1500"/>
      <c r="O106" s="1306">
        <f>(O104+S104)*Q85*IF(M85="ja",1,0)</f>
        <v>0</v>
      </c>
      <c r="P106" s="1306"/>
      <c r="Q106" s="1486">
        <f>Q98</f>
        <v>0.8</v>
      </c>
      <c r="R106" s="1486"/>
      <c r="S106" s="1298">
        <f>O106*Q106</f>
        <v>0</v>
      </c>
      <c r="T106" s="1299"/>
      <c r="U106" s="227"/>
      <c r="W106" s="204"/>
      <c r="X106" s="501"/>
    </row>
    <row r="107" spans="1:24" ht="18" customHeight="1" x14ac:dyDescent="0.25">
      <c r="A107" s="227"/>
      <c r="B107" s="255"/>
      <c r="C107" s="1337"/>
      <c r="D107" s="1342" t="s">
        <v>827</v>
      </c>
      <c r="E107" s="1343"/>
      <c r="F107" s="1343"/>
      <c r="G107" s="1343"/>
      <c r="H107" s="1343"/>
      <c r="I107" s="1343"/>
      <c r="J107" s="1343"/>
      <c r="K107" s="923"/>
      <c r="L107" s="927"/>
      <c r="M107" s="1501"/>
      <c r="N107" s="1502"/>
      <c r="O107" s="1306"/>
      <c r="P107" s="1306"/>
      <c r="Q107" s="1486"/>
      <c r="R107" s="1486"/>
      <c r="S107" s="1300"/>
      <c r="T107" s="1301"/>
      <c r="U107" s="227"/>
      <c r="W107" s="204"/>
      <c r="X107" s="501"/>
    </row>
    <row r="108" spans="1:24" ht="18" customHeight="1" x14ac:dyDescent="0.25">
      <c r="A108" s="227"/>
      <c r="B108" s="255"/>
      <c r="C108" s="1335" t="s">
        <v>823</v>
      </c>
      <c r="D108" s="1327" t="s">
        <v>818</v>
      </c>
      <c r="E108" s="1328"/>
      <c r="F108" s="1328"/>
      <c r="G108" s="1328"/>
      <c r="H108" s="1328"/>
      <c r="I108" s="1329"/>
      <c r="J108" s="1329"/>
      <c r="K108" s="1330"/>
      <c r="L108" s="1330"/>
      <c r="M108" s="226"/>
      <c r="N108" s="226"/>
      <c r="O108" s="1306">
        <f>S86</f>
        <v>0</v>
      </c>
      <c r="P108" s="1306"/>
      <c r="Q108" s="1487">
        <v>0.5</v>
      </c>
      <c r="R108" s="1487"/>
      <c r="S108" s="1298">
        <f>O108*Q108</f>
        <v>0</v>
      </c>
      <c r="T108" s="1299"/>
      <c r="U108" s="227"/>
      <c r="W108" s="204"/>
      <c r="X108" s="501"/>
    </row>
    <row r="109" spans="1:24" ht="18" customHeight="1" x14ac:dyDescent="0.25">
      <c r="A109" s="227"/>
      <c r="B109" s="255"/>
      <c r="C109" s="1340"/>
      <c r="D109" s="1344" t="s">
        <v>829</v>
      </c>
      <c r="E109" s="1345"/>
      <c r="F109" s="1345"/>
      <c r="G109" s="1345"/>
      <c r="H109" s="1345"/>
      <c r="I109" s="1345"/>
      <c r="J109" s="1345"/>
      <c r="K109" s="1345"/>
      <c r="L109" s="1345"/>
      <c r="M109" s="1345"/>
      <c r="N109" s="1346"/>
      <c r="O109" s="1315"/>
      <c r="P109" s="1315"/>
      <c r="Q109" s="1488"/>
      <c r="R109" s="1488"/>
      <c r="S109" s="1302"/>
      <c r="T109" s="1303"/>
      <c r="U109" s="227"/>
      <c r="W109" s="204"/>
      <c r="X109" s="501"/>
    </row>
    <row r="110" spans="1:24" ht="24" customHeight="1" x14ac:dyDescent="0.25">
      <c r="A110" s="227"/>
      <c r="B110" s="255"/>
      <c r="C110" s="470" t="s">
        <v>825</v>
      </c>
      <c r="D110" s="1350" t="s">
        <v>824</v>
      </c>
      <c r="E110" s="1351"/>
      <c r="F110" s="1351"/>
      <c r="G110" s="1351"/>
      <c r="H110" s="1351"/>
      <c r="I110" s="1351"/>
      <c r="J110" s="1351"/>
      <c r="K110" s="1351"/>
      <c r="L110" s="1351"/>
      <c r="M110" s="1348" t="str">
        <f>IFERROR("Anteil RiLi ÖPNV-Invest an den Herstellungskosten: "&amp;ROUNDUP(S110/S88*100,1)&amp;" %","")</f>
        <v/>
      </c>
      <c r="N110" s="1348"/>
      <c r="O110" s="1348"/>
      <c r="P110" s="1348"/>
      <c r="Q110" s="1348"/>
      <c r="R110" s="1349"/>
      <c r="S110" s="1304">
        <f>SUM(S98:T109)</f>
        <v>0</v>
      </c>
      <c r="T110" s="1305"/>
      <c r="U110" s="227"/>
      <c r="W110" s="204"/>
      <c r="X110" s="501"/>
    </row>
    <row r="111" spans="1:24" ht="12" customHeight="1" x14ac:dyDescent="0.25">
      <c r="A111" s="227"/>
      <c r="B111" s="255"/>
      <c r="C111" s="907"/>
      <c r="D111" s="908"/>
      <c r="E111" s="908"/>
      <c r="F111" s="908"/>
      <c r="G111" s="908"/>
      <c r="H111" s="908"/>
      <c r="I111" s="908"/>
      <c r="J111" s="908"/>
      <c r="K111" s="908"/>
      <c r="L111" s="908"/>
      <c r="M111" s="909"/>
      <c r="N111" s="909"/>
      <c r="O111" s="910"/>
      <c r="P111" s="910"/>
      <c r="Q111" s="911"/>
      <c r="R111" s="911"/>
      <c r="S111" s="911"/>
      <c r="T111" s="911"/>
      <c r="U111" s="227"/>
      <c r="W111" s="204"/>
      <c r="X111" s="501"/>
    </row>
    <row r="112" spans="1:24" ht="24" customHeight="1" x14ac:dyDescent="0.25">
      <c r="A112" s="227"/>
      <c r="B112" s="255"/>
      <c r="C112" s="1323">
        <v>2</v>
      </c>
      <c r="D112" s="1579" t="s">
        <v>693</v>
      </c>
      <c r="E112" s="1579"/>
      <c r="F112" s="1579"/>
      <c r="G112" s="1579"/>
      <c r="H112" s="1579"/>
      <c r="I112" s="1579"/>
      <c r="J112" s="1579"/>
      <c r="K112" s="1579"/>
      <c r="L112" s="1579"/>
      <c r="M112" s="1455">
        <f>S88</f>
        <v>0</v>
      </c>
      <c r="N112" s="1455"/>
      <c r="O112" s="1571" t="s">
        <v>831</v>
      </c>
      <c r="P112" s="1572"/>
      <c r="Q112" s="1574"/>
      <c r="R112" s="1574"/>
      <c r="S112" s="1455">
        <f>IF(OR(M113=0,M113=""),ROUNDDOWN(M112*ROUNDDOWN(Q112,2),0),ROUNDDOWN(M113*ROUNDDOWN(Q112,2),0))</f>
        <v>0</v>
      </c>
      <c r="T112" s="1456"/>
      <c r="U112" s="227"/>
      <c r="W112" s="204"/>
      <c r="X112" s="501"/>
    </row>
    <row r="113" spans="1:24" ht="20.100000000000001" customHeight="1" x14ac:dyDescent="0.25">
      <c r="A113" s="227"/>
      <c r="B113" s="255"/>
      <c r="C113" s="1324"/>
      <c r="D113" s="1580" t="s">
        <v>432</v>
      </c>
      <c r="E113" s="1580"/>
      <c r="F113" s="1580"/>
      <c r="G113" s="1580"/>
      <c r="H113" s="1580"/>
      <c r="I113" s="1580"/>
      <c r="J113" s="1580"/>
      <c r="K113" s="1580"/>
      <c r="L113" s="1580"/>
      <c r="M113" s="1576"/>
      <c r="N113" s="1576"/>
      <c r="O113" s="1573"/>
      <c r="P113" s="1573"/>
      <c r="Q113" s="1575"/>
      <c r="R113" s="1575"/>
      <c r="S113" s="1315"/>
      <c r="T113" s="1316"/>
      <c r="U113" s="361"/>
      <c r="W113" s="204"/>
      <c r="X113" s="501"/>
    </row>
    <row r="114" spans="1:24" ht="12" customHeight="1" x14ac:dyDescent="0.25">
      <c r="A114" s="227"/>
      <c r="B114" s="255"/>
      <c r="C114" s="912"/>
      <c r="D114" s="914"/>
      <c r="E114" s="914"/>
      <c r="F114" s="914"/>
      <c r="G114" s="914"/>
      <c r="H114" s="914"/>
      <c r="I114" s="914"/>
      <c r="J114" s="916"/>
      <c r="K114" s="916"/>
      <c r="L114" s="916"/>
      <c r="M114" s="916"/>
      <c r="N114" s="916"/>
      <c r="O114" s="916"/>
      <c r="P114" s="917"/>
      <c r="Q114" s="915"/>
      <c r="R114" s="915"/>
      <c r="S114" s="915"/>
      <c r="T114" s="915"/>
      <c r="U114" s="227"/>
      <c r="W114" s="204"/>
      <c r="X114" s="501"/>
    </row>
    <row r="115" spans="1:24" ht="24" customHeight="1" x14ac:dyDescent="0.25">
      <c r="A115" s="227"/>
      <c r="B115" s="255"/>
      <c r="C115" s="913"/>
      <c r="D115" s="1581" t="s">
        <v>365</v>
      </c>
      <c r="E115" s="1581"/>
      <c r="F115" s="1581"/>
      <c r="G115" s="1581"/>
      <c r="H115" s="1581"/>
      <c r="I115" s="1581"/>
      <c r="J115" s="1581"/>
      <c r="K115" s="1581"/>
      <c r="L115" s="1581"/>
      <c r="M115" s="918"/>
      <c r="N115" s="918"/>
      <c r="O115" s="918"/>
      <c r="P115" s="918"/>
      <c r="Q115" s="919"/>
      <c r="R115" s="920" t="str">
        <f>IFERROR("Anteil der Fördermittel an den Herstellungskosten: "&amp;ROUNDUP(S115/S88*100,1)&amp;" %","")</f>
        <v/>
      </c>
      <c r="S115" s="1462">
        <f>SUM(S110:T113)</f>
        <v>0</v>
      </c>
      <c r="T115" s="1462"/>
      <c r="U115" s="227"/>
      <c r="W115" s="204"/>
      <c r="X115" s="501"/>
    </row>
    <row r="116" spans="1:24" ht="12" customHeight="1" x14ac:dyDescent="0.25">
      <c r="A116" s="227"/>
      <c r="B116" s="236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9"/>
      <c r="W116" s="204"/>
      <c r="X116" s="501"/>
    </row>
    <row r="117" spans="1:24" ht="24" customHeight="1" x14ac:dyDescent="0.25">
      <c r="A117" s="227"/>
      <c r="B117" s="706"/>
      <c r="C117" s="707" t="s">
        <v>371</v>
      </c>
      <c r="D117" s="428" t="s">
        <v>366</v>
      </c>
      <c r="E117" s="234"/>
      <c r="F117" s="234"/>
      <c r="G117" s="234"/>
      <c r="H117" s="234"/>
      <c r="I117" s="234"/>
      <c r="J117" s="234"/>
      <c r="K117" s="234"/>
      <c r="L117" s="234"/>
      <c r="M117" s="1398" t="s">
        <v>330</v>
      </c>
      <c r="N117" s="1397"/>
      <c r="O117" s="1396" t="s">
        <v>331</v>
      </c>
      <c r="P117" s="1397"/>
      <c r="Q117" s="1398" t="s">
        <v>332</v>
      </c>
      <c r="R117" s="1398"/>
      <c r="S117" s="1396" t="s">
        <v>401</v>
      </c>
      <c r="T117" s="1398"/>
      <c r="U117" s="429"/>
      <c r="W117" s="204"/>
      <c r="X117" s="501"/>
    </row>
    <row r="118" spans="1:24" ht="6" customHeight="1" x14ac:dyDescent="0.25">
      <c r="A118" s="227"/>
      <c r="B118" s="255"/>
      <c r="U118" s="227"/>
      <c r="W118" s="204"/>
      <c r="X118" s="501"/>
    </row>
    <row r="119" spans="1:24" ht="20.100000000000001" customHeight="1" x14ac:dyDescent="0.25">
      <c r="A119" s="227"/>
      <c r="B119" s="255"/>
      <c r="C119" s="462">
        <v>1</v>
      </c>
      <c r="D119" s="1391" t="s">
        <v>367</v>
      </c>
      <c r="E119" s="1391"/>
      <c r="F119" s="1391"/>
      <c r="G119" s="1391"/>
      <c r="H119" s="1391"/>
      <c r="I119" s="1391"/>
      <c r="J119" s="1391"/>
      <c r="K119" s="1391"/>
      <c r="L119" s="1467"/>
      <c r="M119" s="433"/>
      <c r="N119" s="433"/>
      <c r="O119" s="433"/>
      <c r="P119" s="433"/>
      <c r="Q119" s="1479" t="str">
        <f>IFERROR(S119/S88,"")</f>
        <v/>
      </c>
      <c r="R119" s="1480"/>
      <c r="S119" s="1455">
        <f>S88-S115</f>
        <v>0</v>
      </c>
      <c r="T119" s="1456"/>
      <c r="U119" s="227"/>
      <c r="W119" s="204"/>
      <c r="X119" s="501"/>
    </row>
    <row r="120" spans="1:24" ht="20.100000000000001" customHeight="1" x14ac:dyDescent="0.25">
      <c r="A120" s="227"/>
      <c r="B120" s="255"/>
      <c r="C120" s="464">
        <v>2</v>
      </c>
      <c r="D120" s="1389" t="s">
        <v>368</v>
      </c>
      <c r="E120" s="1390"/>
      <c r="F120" s="1390"/>
      <c r="G120" s="1390"/>
      <c r="H120" s="1390"/>
      <c r="I120" s="1390"/>
      <c r="J120" s="1390"/>
      <c r="K120" s="1390"/>
      <c r="L120" s="1483" t="s">
        <v>454</v>
      </c>
      <c r="M120" s="1483"/>
      <c r="N120" s="1483"/>
      <c r="O120" s="1317" t="s">
        <v>351</v>
      </c>
      <c r="P120" s="1318"/>
      <c r="Q120" s="1476">
        <v>0</v>
      </c>
      <c r="R120" s="1319"/>
      <c r="S120" s="1315">
        <f>Q120</f>
        <v>0</v>
      </c>
      <c r="T120" s="1316"/>
      <c r="U120" s="227"/>
      <c r="W120" s="204"/>
      <c r="X120" s="501"/>
    </row>
    <row r="121" spans="1:24" ht="20.100000000000001" customHeight="1" x14ac:dyDescent="0.25">
      <c r="A121" s="227"/>
      <c r="B121" s="255"/>
      <c r="C121" s="471"/>
      <c r="D121" s="1474" t="s">
        <v>369</v>
      </c>
      <c r="E121" s="1474"/>
      <c r="F121" s="1474"/>
      <c r="G121" s="1474"/>
      <c r="H121" s="1474"/>
      <c r="I121" s="1474"/>
      <c r="J121" s="1474"/>
      <c r="K121" s="1474"/>
      <c r="L121" s="1475"/>
      <c r="M121" s="237"/>
      <c r="N121" s="237"/>
      <c r="O121" s="237"/>
      <c r="P121" s="237"/>
      <c r="Q121" s="1481" t="str">
        <f>IFERROR(S121/S88,"")</f>
        <v/>
      </c>
      <c r="R121" s="1482"/>
      <c r="S121" s="1477">
        <f>S119-S120</f>
        <v>0</v>
      </c>
      <c r="T121" s="1478"/>
      <c r="U121" s="227"/>
      <c r="W121" s="204"/>
      <c r="X121" s="501"/>
    </row>
    <row r="122" spans="1:24" ht="12" customHeight="1" x14ac:dyDescent="0.25">
      <c r="A122" s="227"/>
      <c r="B122" s="255"/>
      <c r="U122" s="227"/>
      <c r="W122" s="204"/>
      <c r="X122" s="501"/>
    </row>
    <row r="123" spans="1:24" ht="24" customHeight="1" x14ac:dyDescent="0.25">
      <c r="A123" s="227"/>
      <c r="B123" s="255"/>
      <c r="C123" s="431"/>
      <c r="D123" s="1410" t="s">
        <v>421</v>
      </c>
      <c r="E123" s="1410"/>
      <c r="F123" s="1410"/>
      <c r="G123" s="1410"/>
      <c r="H123" s="1410"/>
      <c r="I123" s="1410"/>
      <c r="J123" s="1410"/>
      <c r="K123" s="1410"/>
      <c r="L123" s="1410"/>
      <c r="M123" s="431"/>
      <c r="N123" s="431"/>
      <c r="O123" s="431"/>
      <c r="P123" s="431"/>
      <c r="Q123" s="431"/>
      <c r="R123" s="431"/>
      <c r="S123" s="1462">
        <f>S115+S121+S120</f>
        <v>0</v>
      </c>
      <c r="T123" s="1462"/>
      <c r="U123" s="227"/>
      <c r="W123" s="204"/>
      <c r="X123" s="501"/>
    </row>
    <row r="124" spans="1:24" ht="12" customHeight="1" thickBot="1" x14ac:dyDescent="0.3">
      <c r="A124" s="227"/>
      <c r="B124" s="256"/>
      <c r="C124" s="240"/>
      <c r="D124" s="240"/>
      <c r="E124" s="240"/>
      <c r="F124" s="240"/>
      <c r="G124" s="240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1"/>
      <c r="W124" s="204"/>
      <c r="X124" s="501"/>
    </row>
    <row r="125" spans="1:24" ht="18" customHeight="1" thickBot="1" x14ac:dyDescent="0.3">
      <c r="B125" s="359"/>
      <c r="C125" s="359"/>
      <c r="D125" s="359"/>
      <c r="E125" s="359"/>
      <c r="F125" s="359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W125" s="204"/>
      <c r="X125" s="501"/>
    </row>
    <row r="126" spans="1:24" ht="32.1" customHeight="1" x14ac:dyDescent="0.25">
      <c r="A126" s="227"/>
      <c r="B126" s="423"/>
      <c r="C126" s="424" t="s">
        <v>370</v>
      </c>
      <c r="D126" s="425"/>
      <c r="E126" s="425"/>
      <c r="F126" s="425"/>
      <c r="G126" s="425"/>
      <c r="H126" s="425"/>
      <c r="I126" s="425"/>
      <c r="J126" s="425"/>
      <c r="K126" s="425"/>
      <c r="L126" s="425"/>
      <c r="M126" s="425"/>
      <c r="N126" s="425"/>
      <c r="O126" s="425"/>
      <c r="P126" s="425"/>
      <c r="Q126" s="425"/>
      <c r="R126" s="425"/>
      <c r="S126" s="425"/>
      <c r="T126" s="425"/>
      <c r="U126" s="426"/>
      <c r="W126" s="204"/>
      <c r="X126" s="501"/>
    </row>
    <row r="127" spans="1:24" ht="24" customHeight="1" x14ac:dyDescent="0.25">
      <c r="A127" s="227"/>
      <c r="B127" s="706"/>
      <c r="C127" s="707" t="s">
        <v>375</v>
      </c>
      <c r="D127" s="428" t="s">
        <v>372</v>
      </c>
      <c r="E127" s="234"/>
      <c r="F127" s="234"/>
      <c r="G127" s="234"/>
      <c r="H127" s="234"/>
      <c r="I127" s="234"/>
      <c r="J127" s="234"/>
      <c r="K127" s="234"/>
      <c r="L127" s="234"/>
      <c r="M127" s="1398" t="s">
        <v>330</v>
      </c>
      <c r="N127" s="1397"/>
      <c r="O127" s="1396" t="s">
        <v>331</v>
      </c>
      <c r="P127" s="1397"/>
      <c r="Q127" s="1398" t="s">
        <v>332</v>
      </c>
      <c r="R127" s="1398"/>
      <c r="S127" s="1396" t="s">
        <v>401</v>
      </c>
      <c r="T127" s="1398"/>
      <c r="U127" s="429"/>
      <c r="W127" s="204"/>
      <c r="X127" s="501"/>
    </row>
    <row r="128" spans="1:24" ht="6" customHeight="1" x14ac:dyDescent="0.25">
      <c r="A128" s="227"/>
      <c r="B128" s="255"/>
      <c r="U128" s="227"/>
      <c r="W128" s="204"/>
      <c r="X128" s="501"/>
    </row>
    <row r="129" spans="1:24" ht="20.100000000000001" customHeight="1" x14ac:dyDescent="0.25">
      <c r="A129" s="227"/>
      <c r="B129" s="255"/>
      <c r="C129" s="462">
        <v>1</v>
      </c>
      <c r="D129" s="1391" t="s">
        <v>645</v>
      </c>
      <c r="E129" s="1391"/>
      <c r="F129" s="1391"/>
      <c r="G129" s="1391"/>
      <c r="H129" s="1391"/>
      <c r="I129" s="1391"/>
      <c r="J129" s="1391"/>
      <c r="K129" s="1391"/>
      <c r="L129" s="1391"/>
      <c r="M129" s="1455">
        <f>IF(M85=1,SUM(S55+S56+S57+S58+S62+S71)*(1+Q85),SUM(S55+S56+S57+S58+S62+S71))</f>
        <v>0</v>
      </c>
      <c r="N129" s="1455"/>
      <c r="O129" s="1460" t="s">
        <v>11</v>
      </c>
      <c r="P129" s="1460"/>
      <c r="Q129" s="1458">
        <v>1.4999999999999999E-2</v>
      </c>
      <c r="R129" s="1458"/>
      <c r="S129" s="1455">
        <f>M129*ROUND(Q129,3)</f>
        <v>0</v>
      </c>
      <c r="T129" s="1456"/>
      <c r="U129" s="227"/>
      <c r="W129" s="204"/>
      <c r="X129" s="501"/>
    </row>
    <row r="130" spans="1:24" ht="20.100000000000001" customHeight="1" x14ac:dyDescent="0.25">
      <c r="A130" s="227"/>
      <c r="B130" s="255"/>
      <c r="C130" s="463">
        <v>2</v>
      </c>
      <c r="D130" s="1320" t="s">
        <v>373</v>
      </c>
      <c r="E130" s="1320"/>
      <c r="F130" s="1320"/>
      <c r="G130" s="1320"/>
      <c r="H130" s="1320"/>
      <c r="I130" s="1320"/>
      <c r="J130" s="1320"/>
      <c r="K130" s="1320"/>
      <c r="L130" s="1320"/>
      <c r="M130" s="1306">
        <f>S121</f>
        <v>0</v>
      </c>
      <c r="N130" s="1306"/>
      <c r="O130" s="1441" t="s">
        <v>413</v>
      </c>
      <c r="P130" s="1441"/>
      <c r="Q130" s="1472">
        <v>40</v>
      </c>
      <c r="R130" s="1472"/>
      <c r="S130" s="1306">
        <f>M130/Q130</f>
        <v>0</v>
      </c>
      <c r="T130" s="1307"/>
      <c r="U130" s="227"/>
      <c r="W130" s="204"/>
      <c r="X130" s="501"/>
    </row>
    <row r="131" spans="1:24" ht="20.100000000000001" customHeight="1" x14ac:dyDescent="0.25">
      <c r="A131" s="227"/>
      <c r="B131" s="255"/>
      <c r="C131" s="464">
        <v>3</v>
      </c>
      <c r="D131" s="1321" t="s">
        <v>687</v>
      </c>
      <c r="E131" s="1321"/>
      <c r="F131" s="1321"/>
      <c r="G131" s="1321"/>
      <c r="H131" s="1321"/>
      <c r="I131" s="1321"/>
      <c r="J131" s="1321"/>
      <c r="K131" s="1321"/>
      <c r="L131" s="1321"/>
      <c r="M131" s="1315">
        <f>S121</f>
        <v>0</v>
      </c>
      <c r="N131" s="1315"/>
      <c r="O131" s="1318" t="s">
        <v>436</v>
      </c>
      <c r="P131" s="1318"/>
      <c r="Q131" s="1473">
        <v>0</v>
      </c>
      <c r="R131" s="1473"/>
      <c r="S131" s="1315">
        <f>M131*ROUND(Q131,4)</f>
        <v>0</v>
      </c>
      <c r="T131" s="1316"/>
      <c r="U131" s="227"/>
      <c r="W131" s="204"/>
      <c r="X131" s="501"/>
    </row>
    <row r="132" spans="1:24" ht="20.100000000000001" customHeight="1" x14ac:dyDescent="0.25">
      <c r="A132" s="227"/>
      <c r="B132" s="255"/>
      <c r="C132" s="470" t="s">
        <v>716</v>
      </c>
      <c r="D132" s="1568" t="s">
        <v>374</v>
      </c>
      <c r="E132" s="1569"/>
      <c r="F132" s="1569"/>
      <c r="G132" s="1569"/>
      <c r="H132" s="1569"/>
      <c r="I132" s="1569"/>
      <c r="J132" s="1569"/>
      <c r="K132" s="1569"/>
      <c r="L132" s="1570"/>
      <c r="M132" s="438"/>
      <c r="N132" s="438"/>
      <c r="O132" s="438"/>
      <c r="P132" s="438"/>
      <c r="Q132" s="438"/>
      <c r="R132" s="438"/>
      <c r="S132" s="1305">
        <f>SUM(S129:T131)</f>
        <v>0</v>
      </c>
      <c r="T132" s="1466"/>
      <c r="U132" s="227"/>
      <c r="W132" s="204"/>
      <c r="X132" s="501"/>
    </row>
    <row r="133" spans="1:24" ht="12" customHeight="1" x14ac:dyDescent="0.25">
      <c r="A133" s="227"/>
      <c r="B133" s="236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9"/>
      <c r="W133" s="204"/>
      <c r="X133" s="501"/>
    </row>
    <row r="134" spans="1:24" ht="24" customHeight="1" x14ac:dyDescent="0.25">
      <c r="A134" s="227"/>
      <c r="B134" s="706"/>
      <c r="C134" s="707" t="s">
        <v>435</v>
      </c>
      <c r="D134" s="428" t="s">
        <v>376</v>
      </c>
      <c r="E134" s="234"/>
      <c r="F134" s="234"/>
      <c r="G134" s="234"/>
      <c r="H134" s="234"/>
      <c r="I134" s="234"/>
      <c r="J134" s="234"/>
      <c r="K134" s="234"/>
      <c r="L134" s="234"/>
      <c r="M134" s="1398" t="s">
        <v>330</v>
      </c>
      <c r="N134" s="1397"/>
      <c r="O134" s="1396" t="s">
        <v>331</v>
      </c>
      <c r="P134" s="1397"/>
      <c r="Q134" s="1398" t="s">
        <v>332</v>
      </c>
      <c r="R134" s="1398"/>
      <c r="S134" s="1396" t="s">
        <v>401</v>
      </c>
      <c r="T134" s="1398"/>
      <c r="U134" s="429"/>
      <c r="W134" s="204"/>
      <c r="X134" s="501"/>
    </row>
    <row r="135" spans="1:24" ht="6" customHeight="1" x14ac:dyDescent="0.25">
      <c r="A135" s="227"/>
      <c r="B135" s="255"/>
      <c r="U135" s="227"/>
      <c r="W135" s="204"/>
      <c r="X135" s="501"/>
    </row>
    <row r="136" spans="1:24" ht="20.100000000000001" customHeight="1" x14ac:dyDescent="0.25">
      <c r="A136" s="227"/>
      <c r="B136" s="255"/>
      <c r="C136" s="462">
        <v>1</v>
      </c>
      <c r="D136" s="1467" t="s">
        <v>784</v>
      </c>
      <c r="E136" s="1468"/>
      <c r="F136" s="1468"/>
      <c r="G136" s="1468"/>
      <c r="H136" s="1468"/>
      <c r="I136" s="1468"/>
      <c r="J136" s="1468"/>
      <c r="K136" s="1468"/>
      <c r="L136" s="1469"/>
      <c r="M136" s="1470">
        <f>IF(M68&lt;&gt;"",M68,IF(ISNUMBER(L68),L68,0))</f>
        <v>0</v>
      </c>
      <c r="N136" s="1470"/>
      <c r="O136" s="1382" t="s">
        <v>783</v>
      </c>
      <c r="P136" s="1382"/>
      <c r="Q136" s="1465">
        <v>0.43</v>
      </c>
      <c r="R136" s="1465"/>
      <c r="S136" s="1455">
        <f>M136*2.22*Q136*12*365/1000</f>
        <v>0</v>
      </c>
      <c r="T136" s="1456"/>
      <c r="U136" s="227"/>
      <c r="W136" s="204"/>
      <c r="X136" s="501"/>
    </row>
    <row r="137" spans="1:24" ht="20.100000000000001" customHeight="1" x14ac:dyDescent="0.25">
      <c r="A137" s="227"/>
      <c r="B137" s="255"/>
      <c r="C137" s="463">
        <v>2</v>
      </c>
      <c r="D137" s="1320" t="s">
        <v>378</v>
      </c>
      <c r="E137" s="1320"/>
      <c r="F137" s="1320"/>
      <c r="G137" s="1320"/>
      <c r="H137" s="1320"/>
      <c r="I137" s="1320"/>
      <c r="J137" s="1320"/>
      <c r="K137" s="1320"/>
      <c r="L137" s="1320"/>
      <c r="M137" s="1471">
        <v>0</v>
      </c>
      <c r="N137" s="1471"/>
      <c r="O137" s="1441" t="s">
        <v>377</v>
      </c>
      <c r="P137" s="1441"/>
      <c r="Q137" s="1394">
        <v>4</v>
      </c>
      <c r="R137" s="1394"/>
      <c r="S137" s="1306">
        <f>M137*Q137</f>
        <v>0</v>
      </c>
      <c r="T137" s="1307"/>
      <c r="U137" s="227"/>
      <c r="W137" s="204"/>
      <c r="X137" s="501"/>
    </row>
    <row r="138" spans="1:24" ht="20.100000000000001" customHeight="1" x14ac:dyDescent="0.25">
      <c r="A138" s="227"/>
      <c r="B138" s="255"/>
      <c r="C138" s="464">
        <v>3</v>
      </c>
      <c r="D138" s="1321" t="s">
        <v>379</v>
      </c>
      <c r="E138" s="1321"/>
      <c r="F138" s="1321"/>
      <c r="G138" s="1321"/>
      <c r="H138" s="1321"/>
      <c r="I138" s="1321"/>
      <c r="J138" s="1321"/>
      <c r="K138" s="1321"/>
      <c r="L138" s="1322"/>
      <c r="M138" s="472"/>
      <c r="N138" s="434"/>
      <c r="O138" s="1317" t="s">
        <v>351</v>
      </c>
      <c r="P138" s="1318"/>
      <c r="Q138" s="1319">
        <v>0</v>
      </c>
      <c r="R138" s="1319"/>
      <c r="S138" s="1315">
        <f>Q138</f>
        <v>0</v>
      </c>
      <c r="T138" s="1316"/>
      <c r="U138" s="227"/>
      <c r="W138" s="204"/>
      <c r="X138" s="501"/>
    </row>
    <row r="139" spans="1:24" ht="12" customHeight="1" x14ac:dyDescent="0.25">
      <c r="A139" s="227"/>
      <c r="B139" s="236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9"/>
      <c r="W139" s="204"/>
      <c r="X139" s="501"/>
    </row>
    <row r="140" spans="1:24" ht="24" customHeight="1" x14ac:dyDescent="0.25">
      <c r="A140" s="227"/>
      <c r="B140" s="706"/>
      <c r="C140" s="707" t="s">
        <v>380</v>
      </c>
      <c r="D140" s="428" t="s">
        <v>381</v>
      </c>
      <c r="E140" s="234"/>
      <c r="F140" s="234"/>
      <c r="G140" s="234"/>
      <c r="H140" s="234"/>
      <c r="I140" s="234"/>
      <c r="J140" s="234"/>
      <c r="K140" s="234"/>
      <c r="L140" s="234"/>
      <c r="M140" s="1398" t="s">
        <v>330</v>
      </c>
      <c r="N140" s="1397"/>
      <c r="O140" s="1396" t="s">
        <v>331</v>
      </c>
      <c r="P140" s="1397"/>
      <c r="Q140" s="1398" t="s">
        <v>332</v>
      </c>
      <c r="R140" s="1398"/>
      <c r="S140" s="1396" t="s">
        <v>401</v>
      </c>
      <c r="T140" s="1398"/>
      <c r="U140" s="429"/>
      <c r="W140" s="204"/>
      <c r="X140" s="501"/>
    </row>
    <row r="141" spans="1:24" ht="6" customHeight="1" x14ac:dyDescent="0.25">
      <c r="A141" s="227"/>
      <c r="B141" s="255"/>
      <c r="U141" s="227"/>
      <c r="W141" s="204"/>
      <c r="X141" s="501"/>
    </row>
    <row r="142" spans="1:24" ht="20.100000000000001" customHeight="1" x14ac:dyDescent="0.25">
      <c r="A142" s="227"/>
      <c r="B142" s="255"/>
      <c r="C142" s="462">
        <v>1</v>
      </c>
      <c r="D142" s="1391" t="s">
        <v>726</v>
      </c>
      <c r="E142" s="1391"/>
      <c r="F142" s="1391"/>
      <c r="G142" s="1391"/>
      <c r="H142" s="1391"/>
      <c r="I142" s="1391"/>
      <c r="J142" s="1391"/>
      <c r="K142" s="1391"/>
      <c r="L142" s="1391"/>
      <c r="M142" s="1455">
        <f>S47+SUM(S66:T70)</f>
        <v>0</v>
      </c>
      <c r="N142" s="1455"/>
      <c r="O142" s="1460" t="s">
        <v>11</v>
      </c>
      <c r="P142" s="1460"/>
      <c r="Q142" s="1458">
        <v>0.03</v>
      </c>
      <c r="R142" s="1458"/>
      <c r="S142" s="1455">
        <f>M142*ROUND(Q142,3)</f>
        <v>0</v>
      </c>
      <c r="T142" s="1456"/>
      <c r="U142" s="227"/>
      <c r="W142" s="204"/>
      <c r="X142" s="501"/>
    </row>
    <row r="143" spans="1:24" ht="20.100000000000001" customHeight="1" x14ac:dyDescent="0.25">
      <c r="A143" s="227"/>
      <c r="B143" s="255"/>
      <c r="C143" s="463">
        <v>2</v>
      </c>
      <c r="D143" s="1320" t="s">
        <v>382</v>
      </c>
      <c r="E143" s="1320"/>
      <c r="F143" s="1320"/>
      <c r="G143" s="1320"/>
      <c r="H143" s="1320"/>
      <c r="I143" s="1320"/>
      <c r="J143" s="1320"/>
      <c r="K143" s="1320"/>
      <c r="L143" s="1406"/>
      <c r="M143" s="430"/>
      <c r="N143" s="430"/>
      <c r="O143" s="1440" t="s">
        <v>351</v>
      </c>
      <c r="P143" s="1441"/>
      <c r="Q143" s="1354">
        <v>0</v>
      </c>
      <c r="R143" s="1354"/>
      <c r="S143" s="1306">
        <f>Q143</f>
        <v>0</v>
      </c>
      <c r="T143" s="1307"/>
      <c r="U143" s="227"/>
      <c r="W143" s="204"/>
      <c r="X143" s="501"/>
    </row>
    <row r="144" spans="1:24" ht="20.100000000000001" customHeight="1" x14ac:dyDescent="0.25">
      <c r="A144" s="227"/>
      <c r="B144" s="255"/>
      <c r="C144" s="463">
        <v>3</v>
      </c>
      <c r="D144" s="1320" t="s">
        <v>383</v>
      </c>
      <c r="E144" s="1320"/>
      <c r="F144" s="1320"/>
      <c r="G144" s="1320"/>
      <c r="H144" s="1320"/>
      <c r="I144" s="1320"/>
      <c r="J144" s="1320"/>
      <c r="K144" s="1320"/>
      <c r="L144" s="1320"/>
      <c r="M144" s="1399">
        <v>0</v>
      </c>
      <c r="N144" s="1399"/>
      <c r="O144" s="1461" t="s">
        <v>414</v>
      </c>
      <c r="P144" s="1461"/>
      <c r="Q144" s="1459">
        <v>40000</v>
      </c>
      <c r="R144" s="1459"/>
      <c r="S144" s="1306">
        <f>M144*Q144</f>
        <v>0</v>
      </c>
      <c r="T144" s="1307"/>
      <c r="U144" s="227"/>
      <c r="W144" s="204"/>
      <c r="X144" s="501"/>
    </row>
    <row r="145" spans="1:24" ht="20.100000000000001" customHeight="1" x14ac:dyDescent="0.25">
      <c r="A145" s="227"/>
      <c r="B145" s="255"/>
      <c r="C145" s="463">
        <v>4</v>
      </c>
      <c r="D145" s="1320" t="s">
        <v>384</v>
      </c>
      <c r="E145" s="1320"/>
      <c r="F145" s="1320"/>
      <c r="G145" s="1320"/>
      <c r="H145" s="1320"/>
      <c r="I145" s="1320"/>
      <c r="J145" s="1320"/>
      <c r="K145" s="1320"/>
      <c r="L145" s="1320"/>
      <c r="M145" s="1399">
        <v>0</v>
      </c>
      <c r="N145" s="1399"/>
      <c r="O145" s="1461" t="s">
        <v>414</v>
      </c>
      <c r="P145" s="1461"/>
      <c r="Q145" s="1459">
        <v>50000</v>
      </c>
      <c r="R145" s="1459"/>
      <c r="S145" s="1306">
        <f>M145*Q145</f>
        <v>0</v>
      </c>
      <c r="T145" s="1307"/>
      <c r="U145" s="227"/>
      <c r="W145" s="204"/>
      <c r="X145" s="501"/>
    </row>
    <row r="146" spans="1:24" ht="20.100000000000001" customHeight="1" x14ac:dyDescent="0.25">
      <c r="A146" s="227"/>
      <c r="B146" s="255"/>
      <c r="C146" s="463">
        <v>5</v>
      </c>
      <c r="D146" s="1320" t="s">
        <v>385</v>
      </c>
      <c r="E146" s="1320"/>
      <c r="F146" s="1320"/>
      <c r="G146" s="1320"/>
      <c r="H146" s="1320"/>
      <c r="I146" s="1320"/>
      <c r="J146" s="1320"/>
      <c r="K146" s="1320"/>
      <c r="L146" s="1406"/>
      <c r="M146" s="430"/>
      <c r="N146" s="430"/>
      <c r="O146" s="1440" t="s">
        <v>351</v>
      </c>
      <c r="P146" s="1441"/>
      <c r="Q146" s="1354">
        <v>0</v>
      </c>
      <c r="R146" s="1354"/>
      <c r="S146" s="1306">
        <f>Q146</f>
        <v>0</v>
      </c>
      <c r="T146" s="1307"/>
      <c r="U146" s="227"/>
      <c r="W146" s="204"/>
      <c r="X146" s="501"/>
    </row>
    <row r="147" spans="1:24" ht="20.100000000000001" customHeight="1" x14ac:dyDescent="0.25">
      <c r="A147" s="227"/>
      <c r="B147" s="255"/>
      <c r="C147" s="464" t="s">
        <v>715</v>
      </c>
      <c r="D147" s="1408" t="s">
        <v>386</v>
      </c>
      <c r="E147" s="1408"/>
      <c r="F147" s="1408"/>
      <c r="G147" s="1408"/>
      <c r="H147" s="1408"/>
      <c r="I147" s="1408"/>
      <c r="J147" s="1408"/>
      <c r="K147" s="1408"/>
      <c r="L147" s="1409"/>
      <c r="M147" s="434"/>
      <c r="N147" s="434"/>
      <c r="O147" s="434"/>
      <c r="P147" s="434"/>
      <c r="Q147" s="434"/>
      <c r="R147" s="439"/>
      <c r="S147" s="1463">
        <f>SUM(S136:T138,S142:T146)</f>
        <v>0</v>
      </c>
      <c r="T147" s="1464"/>
      <c r="U147" s="227"/>
      <c r="W147" s="204"/>
      <c r="X147" s="501"/>
    </row>
    <row r="148" spans="1:24" ht="12" customHeight="1" x14ac:dyDescent="0.25">
      <c r="A148" s="227"/>
      <c r="B148" s="255"/>
      <c r="U148" s="227"/>
      <c r="W148" s="204"/>
      <c r="X148" s="501"/>
    </row>
    <row r="149" spans="1:24" ht="24" customHeight="1" x14ac:dyDescent="0.25">
      <c r="A149" s="227"/>
      <c r="B149" s="255"/>
      <c r="C149" s="431"/>
      <c r="D149" s="1410" t="s">
        <v>422</v>
      </c>
      <c r="E149" s="1410"/>
      <c r="F149" s="1410"/>
      <c r="G149" s="1410"/>
      <c r="H149" s="1410"/>
      <c r="I149" s="1410"/>
      <c r="J149" s="1410"/>
      <c r="K149" s="1410"/>
      <c r="L149" s="1410"/>
      <c r="M149" s="431"/>
      <c r="N149" s="431"/>
      <c r="O149" s="431"/>
      <c r="P149" s="431"/>
      <c r="Q149" s="431"/>
      <c r="R149" s="431"/>
      <c r="S149" s="1462">
        <f>S132+S147</f>
        <v>0</v>
      </c>
      <c r="T149" s="1462"/>
      <c r="U149" s="227"/>
      <c r="W149" s="204"/>
      <c r="X149" s="501"/>
    </row>
    <row r="150" spans="1:24" ht="12" customHeight="1" thickBot="1" x14ac:dyDescent="0.3">
      <c r="A150" s="227"/>
      <c r="B150" s="256"/>
      <c r="C150" s="240"/>
      <c r="D150" s="240"/>
      <c r="E150" s="240"/>
      <c r="F150" s="240"/>
      <c r="G150" s="240"/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1"/>
      <c r="W150" s="204"/>
      <c r="X150" s="501"/>
    </row>
    <row r="151" spans="1:24" ht="18" customHeight="1" thickBot="1" x14ac:dyDescent="0.3">
      <c r="B151" s="359"/>
      <c r="C151" s="359"/>
      <c r="D151" s="359"/>
      <c r="E151" s="359"/>
      <c r="F151" s="359"/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359"/>
      <c r="S151" s="359"/>
      <c r="T151" s="359"/>
      <c r="U151" s="359"/>
      <c r="W151" s="204"/>
      <c r="X151" s="501"/>
    </row>
    <row r="152" spans="1:24" ht="32.1" customHeight="1" x14ac:dyDescent="0.25">
      <c r="A152" s="227"/>
      <c r="B152" s="423"/>
      <c r="C152" s="424" t="s">
        <v>387</v>
      </c>
      <c r="D152" s="425"/>
      <c r="E152" s="425"/>
      <c r="F152" s="425"/>
      <c r="G152" s="425"/>
      <c r="H152" s="425"/>
      <c r="I152" s="425"/>
      <c r="J152" s="1413" t="s">
        <v>439</v>
      </c>
      <c r="K152" s="1413"/>
      <c r="L152" s="1413"/>
      <c r="M152" s="1413"/>
      <c r="N152" s="1413"/>
      <c r="O152" s="425"/>
      <c r="P152" s="425"/>
      <c r="Q152" s="425"/>
      <c r="R152" s="425"/>
      <c r="S152" s="425"/>
      <c r="T152" s="425"/>
      <c r="U152" s="426"/>
      <c r="W152" s="204"/>
      <c r="X152" s="501"/>
    </row>
    <row r="153" spans="1:24" ht="24" customHeight="1" x14ac:dyDescent="0.25">
      <c r="A153" s="227"/>
      <c r="B153" s="706"/>
      <c r="C153" s="707" t="s">
        <v>388</v>
      </c>
      <c r="D153" s="428" t="s">
        <v>746</v>
      </c>
      <c r="E153" s="234"/>
      <c r="F153" s="234"/>
      <c r="G153" s="234"/>
      <c r="H153" s="234"/>
      <c r="I153" s="234"/>
      <c r="J153" s="234"/>
      <c r="K153" s="234"/>
      <c r="L153" s="234"/>
      <c r="M153" s="1398" t="s">
        <v>330</v>
      </c>
      <c r="N153" s="1397"/>
      <c r="O153" s="1396" t="s">
        <v>331</v>
      </c>
      <c r="P153" s="1397"/>
      <c r="Q153" s="1398" t="s">
        <v>332</v>
      </c>
      <c r="R153" s="1398"/>
      <c r="S153" s="1396" t="s">
        <v>401</v>
      </c>
      <c r="T153" s="1398"/>
      <c r="U153" s="429"/>
      <c r="W153" s="204"/>
      <c r="X153" s="501"/>
    </row>
    <row r="154" spans="1:24" ht="6" customHeight="1" x14ac:dyDescent="0.25">
      <c r="A154" s="227"/>
      <c r="B154" s="255"/>
      <c r="U154" s="227"/>
      <c r="W154" s="204"/>
      <c r="X154" s="501"/>
    </row>
    <row r="155" spans="1:24" ht="20.100000000000001" customHeight="1" x14ac:dyDescent="0.2">
      <c r="A155" s="227"/>
      <c r="B155" s="255"/>
      <c r="C155" s="899">
        <v>0</v>
      </c>
      <c r="D155" s="1404" t="s">
        <v>725</v>
      </c>
      <c r="E155" s="1405"/>
      <c r="F155" s="1405"/>
      <c r="G155" s="1405"/>
      <c r="H155" s="1405"/>
      <c r="I155" s="1411" t="str">
        <f>"noch "&amp;IF(M155-(SUM(M156:N158))&gt;1,TEXT(M155-(SUM(M156:N158)),"#.###")&amp;" Stellplätze können verteilt werden ↘",M155-(SUM(M156:N158))&amp;" Stellplatz kann verteilt werden ↘")</f>
        <v>noch 0 Stellplatz kann verteilt werden ↘</v>
      </c>
      <c r="J155" s="1411"/>
      <c r="K155" s="1411"/>
      <c r="L155" s="1412"/>
      <c r="M155" s="1407">
        <f>M51</f>
        <v>0</v>
      </c>
      <c r="N155" s="1407"/>
      <c r="O155" s="440"/>
      <c r="P155" s="433"/>
      <c r="Q155" s="433"/>
      <c r="R155" s="433"/>
      <c r="S155" s="433"/>
      <c r="T155" s="441"/>
      <c r="U155" s="227"/>
      <c r="W155" s="204"/>
      <c r="X155" s="501"/>
    </row>
    <row r="156" spans="1:24" ht="20.100000000000001" customHeight="1" x14ac:dyDescent="0.25">
      <c r="A156" s="227"/>
      <c r="B156" s="255"/>
      <c r="C156" s="463">
        <v>1</v>
      </c>
      <c r="D156" s="1385" t="s">
        <v>389</v>
      </c>
      <c r="E156" s="1386"/>
      <c r="F156" s="1386"/>
      <c r="G156" s="1386"/>
      <c r="H156" s="1386"/>
      <c r="I156" s="1386"/>
      <c r="J156" s="1386"/>
      <c r="K156" s="1383" t="s">
        <v>437</v>
      </c>
      <c r="L156" s="1384"/>
      <c r="M156" s="1399">
        <v>0</v>
      </c>
      <c r="N156" s="1399"/>
      <c r="O156" s="1379" t="s">
        <v>423</v>
      </c>
      <c r="P156" s="1379"/>
      <c r="Q156" s="1394">
        <v>90</v>
      </c>
      <c r="R156" s="1394"/>
      <c r="S156" s="1306">
        <f>M156*ROUND(Q156,2)</f>
        <v>0</v>
      </c>
      <c r="T156" s="1307"/>
      <c r="U156" s="227"/>
      <c r="W156" s="204"/>
      <c r="X156" s="501"/>
    </row>
    <row r="157" spans="1:24" ht="20.100000000000001" customHeight="1" x14ac:dyDescent="0.25">
      <c r="A157" s="227"/>
      <c r="B157" s="255"/>
      <c r="C157" s="463">
        <v>2</v>
      </c>
      <c r="D157" s="1385" t="s">
        <v>390</v>
      </c>
      <c r="E157" s="1386"/>
      <c r="F157" s="1386"/>
      <c r="G157" s="1386"/>
      <c r="H157" s="1386"/>
      <c r="I157" s="1386"/>
      <c r="J157" s="1386"/>
      <c r="K157" s="1383" t="s">
        <v>437</v>
      </c>
      <c r="L157" s="1384"/>
      <c r="M157" s="1399">
        <v>0</v>
      </c>
      <c r="N157" s="1399"/>
      <c r="O157" s="1379" t="s">
        <v>423</v>
      </c>
      <c r="P157" s="1379"/>
      <c r="Q157" s="1394">
        <v>10</v>
      </c>
      <c r="R157" s="1394"/>
      <c r="S157" s="1306">
        <f>M157*ROUND(Q157,2)*12</f>
        <v>0</v>
      </c>
      <c r="T157" s="1307"/>
      <c r="U157" s="227"/>
      <c r="W157" s="204"/>
      <c r="X157" s="501"/>
    </row>
    <row r="158" spans="1:24" ht="20.100000000000001" customHeight="1" x14ac:dyDescent="0.25">
      <c r="A158" s="227"/>
      <c r="B158" s="255"/>
      <c r="C158" s="464">
        <v>3</v>
      </c>
      <c r="D158" s="1389" t="s">
        <v>391</v>
      </c>
      <c r="E158" s="1390"/>
      <c r="F158" s="1390"/>
      <c r="G158" s="1390"/>
      <c r="H158" s="1390"/>
      <c r="I158" s="1390"/>
      <c r="J158" s="1390"/>
      <c r="K158" s="1387" t="s">
        <v>437</v>
      </c>
      <c r="L158" s="1388"/>
      <c r="M158" s="1443">
        <v>0</v>
      </c>
      <c r="N158" s="1443"/>
      <c r="O158" s="1392" t="s">
        <v>423</v>
      </c>
      <c r="P158" s="1393"/>
      <c r="Q158" s="1395">
        <v>1</v>
      </c>
      <c r="R158" s="1395"/>
      <c r="S158" s="1315">
        <f>M158*ROUND(Q158,2)*220</f>
        <v>0</v>
      </c>
      <c r="T158" s="1316"/>
      <c r="U158" s="227"/>
      <c r="W158" s="204"/>
      <c r="X158" s="501"/>
    </row>
    <row r="159" spans="1:24" ht="12" customHeight="1" x14ac:dyDescent="0.25">
      <c r="A159" s="227"/>
      <c r="B159" s="236"/>
      <c r="C159" s="237"/>
      <c r="D159" s="237"/>
      <c r="E159" s="237"/>
      <c r="F159" s="237"/>
      <c r="G159" s="237"/>
      <c r="H159" s="237"/>
      <c r="I159" s="237"/>
      <c r="J159" s="237"/>
      <c r="K159" s="438"/>
      <c r="L159" s="438"/>
      <c r="M159" s="438"/>
      <c r="N159" s="438"/>
      <c r="O159" s="438"/>
      <c r="P159" s="237"/>
      <c r="Q159" s="237"/>
      <c r="R159" s="237"/>
      <c r="S159" s="237"/>
      <c r="T159" s="237"/>
      <c r="U159" s="239"/>
      <c r="W159" s="204"/>
      <c r="X159" s="501"/>
    </row>
    <row r="160" spans="1:24" ht="24" customHeight="1" x14ac:dyDescent="0.25">
      <c r="A160" s="227"/>
      <c r="B160" s="706"/>
      <c r="C160" s="707" t="s">
        <v>392</v>
      </c>
      <c r="D160" s="428" t="s">
        <v>393</v>
      </c>
      <c r="E160" s="234"/>
      <c r="F160" s="234"/>
      <c r="G160" s="234"/>
      <c r="H160" s="234"/>
      <c r="I160" s="234"/>
      <c r="J160" s="234"/>
      <c r="K160" s="234"/>
      <c r="L160" s="234"/>
      <c r="M160" s="1398" t="s">
        <v>330</v>
      </c>
      <c r="N160" s="1397"/>
      <c r="O160" s="1396" t="s">
        <v>331</v>
      </c>
      <c r="P160" s="1397"/>
      <c r="Q160" s="1398" t="s">
        <v>332</v>
      </c>
      <c r="R160" s="1398"/>
      <c r="S160" s="1396" t="s">
        <v>401</v>
      </c>
      <c r="T160" s="1398"/>
      <c r="U160" s="429"/>
      <c r="W160" s="204"/>
      <c r="X160" s="501"/>
    </row>
    <row r="161" spans="1:24" ht="6" customHeight="1" x14ac:dyDescent="0.25">
      <c r="A161" s="227"/>
      <c r="B161" s="255"/>
      <c r="U161" s="227"/>
      <c r="W161" s="204"/>
      <c r="X161" s="501"/>
    </row>
    <row r="162" spans="1:24" ht="20.100000000000001" customHeight="1" x14ac:dyDescent="0.25">
      <c r="A162" s="227"/>
      <c r="B162" s="255"/>
      <c r="C162" s="462">
        <v>1</v>
      </c>
      <c r="D162" s="1391" t="s">
        <v>394</v>
      </c>
      <c r="E162" s="1391"/>
      <c r="F162" s="1391"/>
      <c r="G162" s="1391"/>
      <c r="H162" s="1391"/>
      <c r="I162" s="1391"/>
      <c r="J162" s="1391"/>
      <c r="K162" s="1391"/>
      <c r="L162" s="1391"/>
      <c r="M162" s="1442">
        <v>0</v>
      </c>
      <c r="N162" s="1442"/>
      <c r="O162" s="1382" t="s">
        <v>438</v>
      </c>
      <c r="P162" s="1382"/>
      <c r="Q162" s="1457">
        <v>0</v>
      </c>
      <c r="R162" s="1457"/>
      <c r="S162" s="1455">
        <f>M162*ROUND(Q162,2)*12</f>
        <v>0</v>
      </c>
      <c r="T162" s="1456"/>
      <c r="U162" s="227"/>
      <c r="W162" s="204"/>
      <c r="X162" s="501"/>
    </row>
    <row r="163" spans="1:24" ht="20.100000000000001" customHeight="1" x14ac:dyDescent="0.25">
      <c r="A163" s="227"/>
      <c r="B163" s="255"/>
      <c r="C163" s="463">
        <v>2</v>
      </c>
      <c r="D163" s="1320" t="s">
        <v>395</v>
      </c>
      <c r="E163" s="1320"/>
      <c r="F163" s="1320"/>
      <c r="G163" s="1320"/>
      <c r="H163" s="1320"/>
      <c r="I163" s="1320"/>
      <c r="J163" s="1320"/>
      <c r="K163" s="1320"/>
      <c r="L163" s="1406"/>
      <c r="M163" s="473"/>
      <c r="N163" s="430"/>
      <c r="O163" s="1440" t="s">
        <v>415</v>
      </c>
      <c r="P163" s="1441"/>
      <c r="Q163" s="1354">
        <v>0</v>
      </c>
      <c r="R163" s="1354"/>
      <c r="S163" s="1306">
        <f>Q163</f>
        <v>0</v>
      </c>
      <c r="T163" s="1307"/>
      <c r="U163" s="227"/>
      <c r="W163" s="204"/>
      <c r="X163" s="501"/>
    </row>
    <row r="164" spans="1:24" ht="20.100000000000001" customHeight="1" x14ac:dyDescent="0.25">
      <c r="A164" s="227"/>
      <c r="B164" s="255"/>
      <c r="C164" s="464">
        <v>3</v>
      </c>
      <c r="D164" s="1321" t="s">
        <v>397</v>
      </c>
      <c r="E164" s="1321"/>
      <c r="F164" s="1321"/>
      <c r="G164" s="1321"/>
      <c r="H164" s="1321"/>
      <c r="I164" s="1321"/>
      <c r="J164" s="1321"/>
      <c r="K164" s="1321"/>
      <c r="L164" s="1322"/>
      <c r="M164" s="472"/>
      <c r="N164" s="434"/>
      <c r="O164" s="1317" t="s">
        <v>415</v>
      </c>
      <c r="P164" s="1318"/>
      <c r="Q164" s="1319">
        <v>0</v>
      </c>
      <c r="R164" s="1319"/>
      <c r="S164" s="1315">
        <f>Q164</f>
        <v>0</v>
      </c>
      <c r="T164" s="1316"/>
      <c r="U164" s="227"/>
      <c r="W164" s="204"/>
      <c r="X164" s="501"/>
    </row>
    <row r="165" spans="1:24" ht="12" customHeight="1" x14ac:dyDescent="0.25">
      <c r="A165" s="227"/>
      <c r="B165" s="255"/>
      <c r="U165" s="227"/>
      <c r="W165" s="204"/>
      <c r="X165" s="501"/>
    </row>
    <row r="166" spans="1:24" ht="24" customHeight="1" thickBot="1" x14ac:dyDescent="0.3">
      <c r="A166" s="227"/>
      <c r="B166" s="255"/>
      <c r="C166" s="432"/>
      <c r="D166" s="1362" t="s">
        <v>424</v>
      </c>
      <c r="E166" s="1362"/>
      <c r="F166" s="1362"/>
      <c r="G166" s="1362"/>
      <c r="H166" s="1362"/>
      <c r="I166" s="1362"/>
      <c r="J166" s="1362"/>
      <c r="K166" s="1362"/>
      <c r="L166" s="1362"/>
      <c r="M166" s="432"/>
      <c r="N166" s="432"/>
      <c r="O166" s="432"/>
      <c r="P166" s="432"/>
      <c r="Q166" s="432"/>
      <c r="R166" s="455" t="str">
        <f>IFERROR("Anteil an jährlichen Kosten: "&amp;ROUND((S166/S149)*100,1)&amp;" %","")</f>
        <v/>
      </c>
      <c r="S166" s="1360">
        <f>SUM(S156:T158,S162:T164)</f>
        <v>0</v>
      </c>
      <c r="T166" s="1360"/>
      <c r="U166" s="227"/>
      <c r="W166" s="204"/>
      <c r="X166" s="501"/>
    </row>
    <row r="167" spans="1:24" ht="12" customHeight="1" thickBot="1" x14ac:dyDescent="0.3">
      <c r="A167" s="227"/>
      <c r="B167" s="256"/>
      <c r="C167" s="240"/>
      <c r="D167" s="240"/>
      <c r="E167" s="240"/>
      <c r="F167" s="240"/>
      <c r="G167" s="240"/>
      <c r="H167" s="240"/>
      <c r="I167" s="240"/>
      <c r="J167" s="240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1"/>
      <c r="W167" s="204"/>
      <c r="X167" s="501"/>
    </row>
    <row r="168" spans="1:24" ht="18" customHeight="1" thickBot="1" x14ac:dyDescent="0.3">
      <c r="W168" s="204"/>
      <c r="X168" s="501"/>
    </row>
    <row r="169" spans="1:24" ht="32.1" customHeight="1" thickBot="1" x14ac:dyDescent="0.3">
      <c r="B169" s="446"/>
      <c r="C169" s="447" t="s">
        <v>427</v>
      </c>
      <c r="D169" s="448"/>
      <c r="E169" s="448"/>
      <c r="F169" s="448"/>
      <c r="G169" s="448"/>
      <c r="H169" s="448"/>
      <c r="I169" s="448"/>
      <c r="J169" s="448"/>
      <c r="K169" s="448"/>
      <c r="L169" s="448"/>
      <c r="M169" s="448"/>
      <c r="N169" s="448"/>
      <c r="O169" s="448"/>
      <c r="P169" s="448"/>
      <c r="Q169" s="448"/>
      <c r="R169" s="448"/>
      <c r="S169" s="448"/>
      <c r="T169" s="448"/>
      <c r="U169" s="449"/>
      <c r="W169" s="204"/>
      <c r="X169" s="501"/>
    </row>
    <row r="170" spans="1:24" ht="24" customHeight="1" x14ac:dyDescent="0.25">
      <c r="B170" s="255"/>
      <c r="U170" s="227"/>
      <c r="W170" s="204"/>
      <c r="X170" s="501"/>
    </row>
    <row r="171" spans="1:24" ht="32.1" customHeight="1" thickBot="1" x14ac:dyDescent="0.3">
      <c r="B171" s="255"/>
      <c r="C171" s="432"/>
      <c r="D171" s="1416" t="s">
        <v>487</v>
      </c>
      <c r="E171" s="1416"/>
      <c r="F171" s="1416"/>
      <c r="G171" s="1416"/>
      <c r="H171" s="1416"/>
      <c r="I171" s="1416"/>
      <c r="J171" s="1416"/>
      <c r="K171" s="1416"/>
      <c r="L171" s="1416"/>
      <c r="M171" s="1416"/>
      <c r="N171" s="1416"/>
      <c r="O171" s="1416"/>
      <c r="P171" s="1416"/>
      <c r="Q171" s="1416"/>
      <c r="R171" s="432"/>
      <c r="S171" s="1424">
        <f>IF(VA_FEHLER_D=1,"Fehler gefunden",S166-S149)</f>
        <v>0</v>
      </c>
      <c r="T171" s="1424"/>
      <c r="U171" s="227"/>
      <c r="W171" s="204"/>
      <c r="X171" s="501"/>
    </row>
    <row r="172" spans="1:24" ht="32.1" customHeight="1" thickBot="1" x14ac:dyDescent="0.3">
      <c r="B172" s="255"/>
      <c r="C172" s="432"/>
      <c r="D172" s="1417" t="s">
        <v>488</v>
      </c>
      <c r="E172" s="1417"/>
      <c r="F172" s="1417"/>
      <c r="G172" s="1417"/>
      <c r="H172" s="1417"/>
      <c r="I172" s="1417"/>
      <c r="J172" s="1417"/>
      <c r="K172" s="1417"/>
      <c r="L172" s="1417"/>
      <c r="M172" s="1417"/>
      <c r="N172" s="1417"/>
      <c r="O172" s="1417"/>
      <c r="P172" s="1417"/>
      <c r="Q172" s="1417"/>
      <c r="R172" s="432"/>
      <c r="S172" s="1424">
        <f>IF(VA_FEHLER_D=1,"Fehler gefunden",ROUND(S171+S130,0))</f>
        <v>0</v>
      </c>
      <c r="T172" s="1424"/>
      <c r="U172" s="227"/>
      <c r="W172" s="204"/>
      <c r="X172" s="501"/>
    </row>
    <row r="173" spans="1:24" ht="32.1" customHeight="1" thickBot="1" x14ac:dyDescent="0.3">
      <c r="B173" s="255"/>
      <c r="C173" s="432"/>
      <c r="D173" s="1417" t="s">
        <v>489</v>
      </c>
      <c r="E173" s="1417"/>
      <c r="F173" s="1417"/>
      <c r="G173" s="1417"/>
      <c r="H173" s="1417"/>
      <c r="I173" s="1417"/>
      <c r="J173" s="1417"/>
      <c r="K173" s="1417"/>
      <c r="L173" s="1417"/>
      <c r="M173" s="1417"/>
      <c r="N173" s="1417"/>
      <c r="O173" s="1417"/>
      <c r="P173" s="1417"/>
      <c r="Q173" s="1417"/>
      <c r="R173" s="432"/>
      <c r="S173" s="1424" t="str">
        <f>IF(VA_FEHLER_D=1,"Fehler gefunden",IFERROR(ROUND(S172/M47,0),""))</f>
        <v/>
      </c>
      <c r="T173" s="1424"/>
      <c r="U173" s="227"/>
      <c r="W173" s="204"/>
      <c r="X173" s="501"/>
    </row>
    <row r="174" spans="1:24" ht="24" customHeight="1" thickBot="1" x14ac:dyDescent="0.3">
      <c r="B174" s="256"/>
      <c r="C174" s="709"/>
      <c r="D174" s="710"/>
      <c r="E174" s="711"/>
      <c r="F174" s="712"/>
      <c r="G174" s="713"/>
      <c r="H174" s="714"/>
      <c r="I174" s="240"/>
      <c r="J174" s="240"/>
      <c r="K174" s="240"/>
      <c r="L174" s="240"/>
      <c r="M174" s="240"/>
      <c r="N174" s="240"/>
      <c r="O174" s="240"/>
      <c r="P174" s="240"/>
      <c r="Q174" s="240"/>
      <c r="R174" s="240"/>
      <c r="S174" s="240"/>
      <c r="T174" s="240"/>
      <c r="U174" s="241"/>
      <c r="W174" s="204"/>
      <c r="X174" s="501"/>
    </row>
    <row r="175" spans="1:24" ht="6" customHeight="1" x14ac:dyDescent="0.25">
      <c r="B175" s="814"/>
      <c r="C175" s="815"/>
      <c r="D175" s="816"/>
      <c r="E175" s="817"/>
      <c r="F175" s="818"/>
      <c r="G175" s="819"/>
      <c r="H175" s="820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821"/>
      <c r="W175" s="204"/>
      <c r="X175" s="501"/>
    </row>
    <row r="176" spans="1:24" ht="24" customHeight="1" x14ac:dyDescent="0.25">
      <c r="A176" s="227"/>
      <c r="B176" s="706"/>
      <c r="C176" s="707" t="s">
        <v>398</v>
      </c>
      <c r="D176" s="428" t="s">
        <v>711</v>
      </c>
      <c r="E176" s="234"/>
      <c r="F176" s="234"/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429"/>
      <c r="W176" s="204"/>
      <c r="X176" s="501"/>
    </row>
    <row r="177" spans="1:24" ht="6" customHeight="1" x14ac:dyDescent="0.25">
      <c r="A177" s="227"/>
      <c r="B177" s="255"/>
      <c r="U177" s="227"/>
      <c r="W177" s="204"/>
      <c r="X177" s="501"/>
    </row>
    <row r="178" spans="1:24" ht="20.100000000000001" customHeight="1" x14ac:dyDescent="0.25">
      <c r="A178" s="227"/>
      <c r="B178" s="255"/>
      <c r="C178" s="462">
        <v>1</v>
      </c>
      <c r="D178" s="474" t="s">
        <v>442</v>
      </c>
      <c r="E178" s="475"/>
      <c r="F178" s="475"/>
      <c r="G178" s="475"/>
      <c r="H178" s="475"/>
      <c r="I178" s="475"/>
      <c r="J178" s="1431" t="s">
        <v>441</v>
      </c>
      <c r="K178" s="1432"/>
      <c r="L178" s="1432"/>
      <c r="M178" s="1432"/>
      <c r="N178" s="1432"/>
      <c r="O178" s="1418" t="s">
        <v>396</v>
      </c>
      <c r="P178" s="1382"/>
      <c r="Q178" s="1422"/>
      <c r="R178" s="1422"/>
      <c r="S178" s="476"/>
      <c r="T178" s="441"/>
      <c r="U178" s="227"/>
      <c r="W178" s="204"/>
      <c r="X178" s="501"/>
    </row>
    <row r="179" spans="1:24" ht="20.100000000000001" customHeight="1" x14ac:dyDescent="0.25">
      <c r="A179" s="227"/>
      <c r="B179" s="255"/>
      <c r="C179" s="464">
        <v>2</v>
      </c>
      <c r="D179" s="1321" t="s">
        <v>399</v>
      </c>
      <c r="E179" s="1321"/>
      <c r="F179" s="1321"/>
      <c r="G179" s="1321"/>
      <c r="H179" s="1321"/>
      <c r="I179" s="1321"/>
      <c r="J179" s="1321"/>
      <c r="K179" s="1321"/>
      <c r="L179" s="1322"/>
      <c r="M179" s="434"/>
      <c r="N179" s="434"/>
      <c r="O179" s="1367" t="s">
        <v>11</v>
      </c>
      <c r="P179" s="1419"/>
      <c r="Q179" s="1423">
        <v>0.1</v>
      </c>
      <c r="R179" s="1423"/>
      <c r="S179" s="1315">
        <f>Q178*ROUND(Q179,3)</f>
        <v>0</v>
      </c>
      <c r="T179" s="1316"/>
      <c r="U179" s="227"/>
      <c r="W179" s="204"/>
      <c r="X179" s="501"/>
    </row>
    <row r="180" spans="1:24" ht="20.100000000000001" customHeight="1" x14ac:dyDescent="0.25">
      <c r="A180" s="227"/>
      <c r="B180" s="255"/>
      <c r="C180" s="444"/>
      <c r="D180" s="1425" t="s">
        <v>440</v>
      </c>
      <c r="E180" s="1426"/>
      <c r="F180" s="1426"/>
      <c r="G180" s="1426"/>
      <c r="H180" s="1426"/>
      <c r="I180" s="1426"/>
      <c r="J180" s="1426"/>
      <c r="K180" s="1426"/>
      <c r="L180" s="1427"/>
      <c r="M180" s="442"/>
      <c r="N180" s="442"/>
      <c r="O180" s="442"/>
      <c r="P180" s="442"/>
      <c r="Q180" s="442"/>
      <c r="R180" s="443"/>
      <c r="S180" s="1449">
        <f>IFERROR(IF(S171&lt;0,ROUND(((S171*-1)/(Q178*ROUND(Q179,3))),0),0),"0")</f>
        <v>0</v>
      </c>
      <c r="T180" s="1450"/>
      <c r="U180" s="227"/>
      <c r="W180" s="204"/>
      <c r="X180" s="501"/>
    </row>
    <row r="181" spans="1:24" ht="20.100000000000001" customHeight="1" x14ac:dyDescent="0.25">
      <c r="A181" s="227"/>
      <c r="B181" s="255"/>
      <c r="C181" s="445"/>
      <c r="D181" s="1428" t="s">
        <v>723</v>
      </c>
      <c r="E181" s="1429"/>
      <c r="F181" s="1429"/>
      <c r="G181" s="1429"/>
      <c r="H181" s="1429"/>
      <c r="I181" s="1429"/>
      <c r="J181" s="1429"/>
      <c r="K181" s="1429"/>
      <c r="L181" s="1430"/>
      <c r="M181" s="237"/>
      <c r="N181" s="237"/>
      <c r="O181" s="237"/>
      <c r="P181" s="237"/>
      <c r="Q181" s="1453" t="s">
        <v>724</v>
      </c>
      <c r="R181" s="1454"/>
      <c r="S181" s="1451" t="str">
        <f>IF(M51=0,"bitte A7 prüfen",IFERROR(S180/M51,""))</f>
        <v>bitte A7 prüfen</v>
      </c>
      <c r="T181" s="1452"/>
      <c r="U181" s="227"/>
      <c r="W181" s="204"/>
      <c r="X181" s="501"/>
    </row>
    <row r="182" spans="1:24" ht="20.100000000000001" customHeight="1" x14ac:dyDescent="0.25">
      <c r="A182" s="227"/>
      <c r="B182" s="255"/>
      <c r="C182" s="462">
        <v>3</v>
      </c>
      <c r="D182" s="1391" t="s">
        <v>706</v>
      </c>
      <c r="E182" s="1391"/>
      <c r="F182" s="1391"/>
      <c r="G182" s="1391"/>
      <c r="H182" s="1391"/>
      <c r="I182" s="1391"/>
      <c r="J182" s="1391"/>
      <c r="K182" s="1391"/>
      <c r="L182" s="1391"/>
      <c r="M182" s="1446">
        <v>0</v>
      </c>
      <c r="N182" s="1446"/>
      <c r="O182" s="1447" t="s">
        <v>455</v>
      </c>
      <c r="P182" s="1448"/>
      <c r="Q182" s="1444">
        <f>ROUND(M51*ROUND(M182,2),0)</f>
        <v>0</v>
      </c>
      <c r="R182" s="1445"/>
      <c r="S182" s="433"/>
      <c r="T182" s="477"/>
      <c r="U182" s="227"/>
      <c r="W182" s="204"/>
      <c r="X182" s="501"/>
    </row>
    <row r="183" spans="1:24" ht="20.100000000000001" customHeight="1" x14ac:dyDescent="0.25">
      <c r="A183" s="227"/>
      <c r="B183" s="255"/>
      <c r="C183" s="822">
        <v>4</v>
      </c>
      <c r="D183" s="1320" t="s">
        <v>400</v>
      </c>
      <c r="E183" s="1320"/>
      <c r="F183" s="1320"/>
      <c r="G183" s="1320"/>
      <c r="H183" s="1320"/>
      <c r="I183" s="1320"/>
      <c r="J183" s="1320"/>
      <c r="K183" s="1320"/>
      <c r="L183" s="1406"/>
      <c r="M183" s="823"/>
      <c r="N183" s="823"/>
      <c r="O183" s="823"/>
      <c r="P183" s="824"/>
      <c r="Q183" s="825"/>
      <c r="R183" s="826" t="str">
        <f>IFERROR("Anteil an Saldo Einnahmen/Kosten: "&amp;ROUND(S183/S171*-100,1)&amp;" %","")</f>
        <v/>
      </c>
      <c r="S183" s="1306">
        <f>Q182*Q178*Q179</f>
        <v>0</v>
      </c>
      <c r="T183" s="1307"/>
      <c r="U183" s="227"/>
      <c r="W183" s="204"/>
      <c r="X183" s="501"/>
    </row>
    <row r="184" spans="1:24" ht="20.100000000000001" customHeight="1" x14ac:dyDescent="0.25">
      <c r="A184" s="227"/>
      <c r="B184" s="255"/>
      <c r="C184" s="464">
        <v>5</v>
      </c>
      <c r="D184" s="1433" t="s">
        <v>700</v>
      </c>
      <c r="E184" s="1434"/>
      <c r="F184" s="1434"/>
      <c r="G184" s="1434"/>
      <c r="H184" s="1434"/>
      <c r="I184" s="1434"/>
      <c r="J184" s="1434"/>
      <c r="K184" s="1434"/>
      <c r="L184" s="1434"/>
      <c r="M184" s="1434"/>
      <c r="N184" s="1434"/>
      <c r="O184" s="1434"/>
      <c r="P184" s="1434"/>
      <c r="Q184" s="1434"/>
      <c r="R184" s="1435"/>
      <c r="S184" s="1420">
        <f>IF(VA_FEHLER_D=1,"Fehler gefunden",ROUND(S171+S183,0))</f>
        <v>0</v>
      </c>
      <c r="T184" s="1421"/>
      <c r="U184" s="227"/>
      <c r="W184" s="204"/>
      <c r="X184" s="501"/>
    </row>
    <row r="185" spans="1:24" ht="12" customHeight="1" thickBot="1" x14ac:dyDescent="0.3">
      <c r="A185" s="227"/>
      <c r="B185" s="256"/>
      <c r="C185" s="240"/>
      <c r="D185" s="240"/>
      <c r="E185" s="240"/>
      <c r="F185" s="240"/>
      <c r="G185" s="240"/>
      <c r="H185" s="240"/>
      <c r="I185" s="240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1"/>
      <c r="W185" s="204"/>
      <c r="X185" s="501"/>
    </row>
    <row r="186" spans="1:24" ht="18" customHeight="1" thickBot="1" x14ac:dyDescent="0.3">
      <c r="B186" s="359"/>
      <c r="C186" s="804"/>
      <c r="D186" s="805"/>
      <c r="E186" s="806"/>
      <c r="F186" s="807"/>
      <c r="G186" s="808"/>
      <c r="H186" s="809"/>
      <c r="I186" s="359"/>
      <c r="J186" s="359"/>
      <c r="K186" s="359"/>
      <c r="L186" s="359"/>
      <c r="M186" s="359"/>
      <c r="N186" s="359"/>
      <c r="O186" s="359"/>
      <c r="P186" s="359"/>
      <c r="Q186" s="359"/>
      <c r="R186" s="359"/>
      <c r="S186" s="359"/>
      <c r="T186" s="359"/>
      <c r="U186" s="359"/>
      <c r="W186" s="204"/>
      <c r="X186" s="501"/>
    </row>
    <row r="187" spans="1:24" ht="32.1" customHeight="1" thickBot="1" x14ac:dyDescent="0.3">
      <c r="A187" s="227"/>
      <c r="B187" s="810"/>
      <c r="C187" s="447" t="s">
        <v>425</v>
      </c>
      <c r="D187" s="811"/>
      <c r="E187" s="812"/>
      <c r="F187" s="812"/>
      <c r="G187" s="812"/>
      <c r="H187" s="812"/>
      <c r="I187" s="812"/>
      <c r="J187" s="812"/>
      <c r="K187" s="812"/>
      <c r="L187" s="812"/>
      <c r="M187" s="812"/>
      <c r="N187" s="812"/>
      <c r="O187" s="812"/>
      <c r="P187" s="812"/>
      <c r="Q187" s="812"/>
      <c r="R187" s="812"/>
      <c r="S187" s="812"/>
      <c r="T187" s="812"/>
      <c r="U187" s="813"/>
      <c r="W187" s="204"/>
      <c r="X187" s="501"/>
    </row>
    <row r="188" spans="1:24" ht="9.9499999999999993" customHeight="1" x14ac:dyDescent="0.25">
      <c r="A188" s="227"/>
      <c r="B188" s="245"/>
      <c r="C188" s="202"/>
      <c r="D188" s="202"/>
      <c r="E188" s="202"/>
      <c r="F188" s="202"/>
      <c r="G188" s="202"/>
      <c r="H188" s="246"/>
      <c r="I188" s="250"/>
      <c r="J188" s="250"/>
      <c r="U188" s="227"/>
      <c r="W188" s="204"/>
      <c r="X188" s="501"/>
    </row>
    <row r="189" spans="1:24" ht="20.100000000000001" customHeight="1" x14ac:dyDescent="0.25">
      <c r="A189" s="227"/>
      <c r="B189" s="245"/>
      <c r="C189" s="1436" t="s">
        <v>710</v>
      </c>
      <c r="D189" s="1436"/>
      <c r="E189" s="1436"/>
      <c r="F189" s="1436"/>
      <c r="G189" s="1436"/>
      <c r="H189" s="1437"/>
      <c r="I189" s="928"/>
      <c r="J189" s="451"/>
      <c r="K189" s="451"/>
      <c r="L189" s="451"/>
      <c r="M189" s="451"/>
      <c r="N189" s="451"/>
      <c r="Q189" s="708" t="s">
        <v>426</v>
      </c>
      <c r="R189" s="1414" t="str">
        <f>IF(VA_KOSTENANALYSE=2,M47,VA_BBGESAMT)</f>
        <v>es fehlen noch Daten</v>
      </c>
      <c r="S189" s="1414"/>
      <c r="T189" s="1414"/>
      <c r="U189" s="227"/>
      <c r="W189" s="204"/>
      <c r="X189" s="501"/>
    </row>
    <row r="190" spans="1:24" ht="3.95" customHeight="1" x14ac:dyDescent="0.25">
      <c r="B190" s="245"/>
      <c r="C190" s="1438"/>
      <c r="D190" s="1438"/>
      <c r="E190" s="1438"/>
      <c r="F190" s="1438"/>
      <c r="G190" s="1438"/>
      <c r="H190" s="1439"/>
      <c r="I190" s="844"/>
      <c r="U190" s="227"/>
      <c r="W190" s="204"/>
      <c r="X190" s="501"/>
    </row>
    <row r="191" spans="1:24" ht="18" customHeight="1" x14ac:dyDescent="0.25">
      <c r="A191" s="227"/>
      <c r="B191" s="245"/>
      <c r="C191" s="1436"/>
      <c r="D191" s="1436"/>
      <c r="E191" s="1436"/>
      <c r="F191" s="1436"/>
      <c r="G191" s="1436"/>
      <c r="H191" s="1437"/>
      <c r="I191" s="844"/>
      <c r="J191" s="451"/>
      <c r="K191" s="451"/>
      <c r="L191" s="451"/>
      <c r="M191" s="451"/>
      <c r="N191" s="451"/>
      <c r="Q191" s="708" t="s">
        <v>708</v>
      </c>
      <c r="R191" s="1415">
        <f>S171</f>
        <v>0</v>
      </c>
      <c r="S191" s="1415"/>
      <c r="T191" s="1415"/>
      <c r="U191" s="227"/>
      <c r="W191" s="204"/>
      <c r="X191" s="501"/>
    </row>
    <row r="192" spans="1:24" ht="9.9499999999999993" customHeight="1" thickBot="1" x14ac:dyDescent="0.3">
      <c r="A192" s="227"/>
      <c r="B192" s="247"/>
      <c r="C192" s="248"/>
      <c r="D192" s="248"/>
      <c r="E192" s="248"/>
      <c r="F192" s="248"/>
      <c r="G192" s="248"/>
      <c r="H192" s="249"/>
      <c r="I192" s="240"/>
      <c r="J192" s="240"/>
      <c r="K192" s="240"/>
      <c r="L192" s="240"/>
      <c r="M192" s="240"/>
      <c r="N192" s="240"/>
      <c r="O192" s="240"/>
      <c r="P192" s="240"/>
      <c r="Q192" s="240"/>
      <c r="R192" s="240"/>
      <c r="S192" s="240"/>
      <c r="T192" s="240"/>
      <c r="U192" s="241"/>
      <c r="W192" s="204"/>
      <c r="X192" s="501"/>
    </row>
    <row r="193" spans="1:24" ht="9.9499999999999993" customHeight="1" x14ac:dyDescent="0.25">
      <c r="W193" s="204"/>
      <c r="X193" s="501"/>
    </row>
    <row r="194" spans="1:24" ht="5.0999999999999996" customHeight="1" x14ac:dyDescent="0.25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501"/>
    </row>
    <row r="195" spans="1:24" ht="45" customHeight="1" x14ac:dyDescent="0.25">
      <c r="A195" s="501"/>
      <c r="B195" s="501"/>
      <c r="C195" s="501"/>
      <c r="D195" s="501"/>
      <c r="E195" s="501"/>
      <c r="F195" s="1014" t="s">
        <v>713</v>
      </c>
      <c r="G195" s="1014"/>
      <c r="H195" s="1014"/>
      <c r="I195" s="1014"/>
      <c r="J195" s="1014"/>
      <c r="K195" s="1014"/>
      <c r="L195" s="1014"/>
      <c r="M195" s="1014"/>
      <c r="N195" s="1014"/>
      <c r="O195" s="1014"/>
      <c r="P195" s="1014"/>
      <c r="Q195" s="1014"/>
      <c r="R195" s="1014"/>
      <c r="S195" s="501"/>
      <c r="T195" s="501"/>
      <c r="U195" s="501"/>
      <c r="V195" s="501"/>
      <c r="W195" s="501"/>
      <c r="X195" s="501"/>
    </row>
    <row r="196" spans="1:24" ht="26.25" customHeight="1" x14ac:dyDescent="0.25"/>
  </sheetData>
  <sheetProtection algorithmName="SHA-512" hashValue="Oezw57b8zalfQz1p4O0VdqCLmPPrQ/wpIjEfNf6tV5kFtK0qJ8YeB89mqu4SqauTsTLsEUtu9wIinfn0+5bYMA==" saltValue="7oON651W+mZLQ76VUnVllg==" spinCount="100000" sheet="1" objects="1" scenarios="1"/>
  <mergeCells count="423">
    <mergeCell ref="O28:T28"/>
    <mergeCell ref="O29:T29"/>
    <mergeCell ref="E30:K30"/>
    <mergeCell ref="E31:K31"/>
    <mergeCell ref="Q66:R66"/>
    <mergeCell ref="D69:L69"/>
    <mergeCell ref="Q53:R53"/>
    <mergeCell ref="D68:K68"/>
    <mergeCell ref="D90:L90"/>
    <mergeCell ref="S90:T90"/>
    <mergeCell ref="M73:N73"/>
    <mergeCell ref="O73:P73"/>
    <mergeCell ref="D67:K67"/>
    <mergeCell ref="O44:P44"/>
    <mergeCell ref="O46:P46"/>
    <mergeCell ref="O47:P47"/>
    <mergeCell ref="M47:N47"/>
    <mergeCell ref="M51:N51"/>
    <mergeCell ref="M66:N66"/>
    <mergeCell ref="M67:N67"/>
    <mergeCell ref="M68:N68"/>
    <mergeCell ref="M69:N69"/>
    <mergeCell ref="M70:N70"/>
    <mergeCell ref="M71:N71"/>
    <mergeCell ref="S112:T113"/>
    <mergeCell ref="M112:N112"/>
    <mergeCell ref="M113:N113"/>
    <mergeCell ref="D96:L96"/>
    <mergeCell ref="D112:L112"/>
    <mergeCell ref="D113:L113"/>
    <mergeCell ref="D98:H98"/>
    <mergeCell ref="S102:T103"/>
    <mergeCell ref="S115:T115"/>
    <mergeCell ref="D115:L115"/>
    <mergeCell ref="F195:R195"/>
    <mergeCell ref="D132:L132"/>
    <mergeCell ref="M127:N127"/>
    <mergeCell ref="O127:P127"/>
    <mergeCell ref="Q127:R127"/>
    <mergeCell ref="M134:N134"/>
    <mergeCell ref="O134:P134"/>
    <mergeCell ref="O112:P113"/>
    <mergeCell ref="Q112:R113"/>
    <mergeCell ref="M117:N117"/>
    <mergeCell ref="O117:P117"/>
    <mergeCell ref="Q117:R117"/>
    <mergeCell ref="O67:P67"/>
    <mergeCell ref="O68:P68"/>
    <mergeCell ref="D50:L50"/>
    <mergeCell ref="D55:K55"/>
    <mergeCell ref="D56:K56"/>
    <mergeCell ref="D57:K57"/>
    <mergeCell ref="D58:K58"/>
    <mergeCell ref="D62:K62"/>
    <mergeCell ref="O66:P66"/>
    <mergeCell ref="S53:T53"/>
    <mergeCell ref="Q55:R55"/>
    <mergeCell ref="O69:P69"/>
    <mergeCell ref="O70:P70"/>
    <mergeCell ref="O71:P71"/>
    <mergeCell ref="D71:L71"/>
    <mergeCell ref="D70:L70"/>
    <mergeCell ref="M64:N64"/>
    <mergeCell ref="O64:P64"/>
    <mergeCell ref="S56:T56"/>
    <mergeCell ref="Q64:R64"/>
    <mergeCell ref="S64:T64"/>
    <mergeCell ref="S62:T62"/>
    <mergeCell ref="O60:P60"/>
    <mergeCell ref="M56:N56"/>
    <mergeCell ref="O56:P56"/>
    <mergeCell ref="Q56:R56"/>
    <mergeCell ref="M62:N62"/>
    <mergeCell ref="M60:N60"/>
    <mergeCell ref="O62:P62"/>
    <mergeCell ref="Q62:R62"/>
    <mergeCell ref="S60:T60"/>
    <mergeCell ref="Q60:R60"/>
    <mergeCell ref="S67:T67"/>
    <mergeCell ref="Q57:R57"/>
    <mergeCell ref="Q58:R58"/>
    <mergeCell ref="S55:T55"/>
    <mergeCell ref="S57:T57"/>
    <mergeCell ref="S58:T58"/>
    <mergeCell ref="O55:P55"/>
    <mergeCell ref="O57:P57"/>
    <mergeCell ref="O58:P58"/>
    <mergeCell ref="M55:N55"/>
    <mergeCell ref="M57:N57"/>
    <mergeCell ref="M58:N58"/>
    <mergeCell ref="A1:B1"/>
    <mergeCell ref="N34:T34"/>
    <mergeCell ref="C36:T36"/>
    <mergeCell ref="Q40:R40"/>
    <mergeCell ref="S40:T40"/>
    <mergeCell ref="O51:P51"/>
    <mergeCell ref="Q42:R42"/>
    <mergeCell ref="Q43:R43"/>
    <mergeCell ref="Q44:R44"/>
    <mergeCell ref="Q46:R46"/>
    <mergeCell ref="Q47:R47"/>
    <mergeCell ref="R1:T1"/>
    <mergeCell ref="M40:N40"/>
    <mergeCell ref="O40:P40"/>
    <mergeCell ref="D47:L47"/>
    <mergeCell ref="D51:L51"/>
    <mergeCell ref="O42:P42"/>
    <mergeCell ref="O43:P43"/>
    <mergeCell ref="D48:L48"/>
    <mergeCell ref="O48:P48"/>
    <mergeCell ref="Q51:T51"/>
    <mergeCell ref="Q48:T48"/>
    <mergeCell ref="C26:D26"/>
    <mergeCell ref="C27:D27"/>
    <mergeCell ref="S71:T71"/>
    <mergeCell ref="Q70:R70"/>
    <mergeCell ref="Q71:R71"/>
    <mergeCell ref="Q67:R67"/>
    <mergeCell ref="Q68:R68"/>
    <mergeCell ref="Q69:R69"/>
    <mergeCell ref="Q73:R73"/>
    <mergeCell ref="S75:T75"/>
    <mergeCell ref="Q75:R75"/>
    <mergeCell ref="S73:T73"/>
    <mergeCell ref="S70:T70"/>
    <mergeCell ref="S68:T68"/>
    <mergeCell ref="S69:T69"/>
    <mergeCell ref="S82:T82"/>
    <mergeCell ref="D79:L79"/>
    <mergeCell ref="S79:T79"/>
    <mergeCell ref="S78:T78"/>
    <mergeCell ref="Q76:R76"/>
    <mergeCell ref="Q77:R77"/>
    <mergeCell ref="Q78:R78"/>
    <mergeCell ref="O76:P76"/>
    <mergeCell ref="O77:P77"/>
    <mergeCell ref="O78:P78"/>
    <mergeCell ref="M76:N76"/>
    <mergeCell ref="M77:N77"/>
    <mergeCell ref="D76:L76"/>
    <mergeCell ref="S76:T76"/>
    <mergeCell ref="S77:T77"/>
    <mergeCell ref="M82:N82"/>
    <mergeCell ref="O82:P82"/>
    <mergeCell ref="O75:P75"/>
    <mergeCell ref="D75:L75"/>
    <mergeCell ref="Q98:R103"/>
    <mergeCell ref="Q106:R107"/>
    <mergeCell ref="Q104:R105"/>
    <mergeCell ref="Q108:R109"/>
    <mergeCell ref="M101:N101"/>
    <mergeCell ref="D102:L102"/>
    <mergeCell ref="D103:N103"/>
    <mergeCell ref="M98:N98"/>
    <mergeCell ref="M99:N99"/>
    <mergeCell ref="M100:N100"/>
    <mergeCell ref="D99:H99"/>
    <mergeCell ref="D100:H100"/>
    <mergeCell ref="D101:H101"/>
    <mergeCell ref="K98:L98"/>
    <mergeCell ref="Q82:R82"/>
    <mergeCell ref="M106:N106"/>
    <mergeCell ref="O104:P105"/>
    <mergeCell ref="M107:N107"/>
    <mergeCell ref="O106:P107"/>
    <mergeCell ref="N93:S93"/>
    <mergeCell ref="N94:S94"/>
    <mergeCell ref="S117:T117"/>
    <mergeCell ref="D123:L123"/>
    <mergeCell ref="S123:T123"/>
    <mergeCell ref="D119:L119"/>
    <mergeCell ref="D121:L121"/>
    <mergeCell ref="Q120:R120"/>
    <mergeCell ref="O120:P120"/>
    <mergeCell ref="S120:T120"/>
    <mergeCell ref="S119:T119"/>
    <mergeCell ref="S121:T121"/>
    <mergeCell ref="Q119:R119"/>
    <mergeCell ref="Q121:R121"/>
    <mergeCell ref="D120:K120"/>
    <mergeCell ref="L120:N120"/>
    <mergeCell ref="S127:T127"/>
    <mergeCell ref="D129:L129"/>
    <mergeCell ref="S129:T129"/>
    <mergeCell ref="S130:T130"/>
    <mergeCell ref="S131:T131"/>
    <mergeCell ref="Q129:R129"/>
    <mergeCell ref="Q130:R130"/>
    <mergeCell ref="Q131:R131"/>
    <mergeCell ref="O129:P129"/>
    <mergeCell ref="O130:P130"/>
    <mergeCell ref="O131:P131"/>
    <mergeCell ref="M129:N129"/>
    <mergeCell ref="M130:N130"/>
    <mergeCell ref="M131:N131"/>
    <mergeCell ref="D130:L130"/>
    <mergeCell ref="D131:L131"/>
    <mergeCell ref="S132:T132"/>
    <mergeCell ref="Q134:R134"/>
    <mergeCell ref="S134:T134"/>
    <mergeCell ref="O136:P136"/>
    <mergeCell ref="O137:P137"/>
    <mergeCell ref="D136:L136"/>
    <mergeCell ref="D137:L137"/>
    <mergeCell ref="D138:L138"/>
    <mergeCell ref="O138:P138"/>
    <mergeCell ref="M136:N136"/>
    <mergeCell ref="M137:N137"/>
    <mergeCell ref="S142:T142"/>
    <mergeCell ref="S143:T143"/>
    <mergeCell ref="S144:T144"/>
    <mergeCell ref="S136:T136"/>
    <mergeCell ref="S137:T137"/>
    <mergeCell ref="S138:T138"/>
    <mergeCell ref="Q136:R136"/>
    <mergeCell ref="Q137:R137"/>
    <mergeCell ref="Q138:R138"/>
    <mergeCell ref="D163:L163"/>
    <mergeCell ref="M145:N145"/>
    <mergeCell ref="D143:L143"/>
    <mergeCell ref="Q140:R140"/>
    <mergeCell ref="S140:T140"/>
    <mergeCell ref="M153:N153"/>
    <mergeCell ref="O153:P153"/>
    <mergeCell ref="Q153:R153"/>
    <mergeCell ref="S153:T153"/>
    <mergeCell ref="Q142:R142"/>
    <mergeCell ref="Q143:R143"/>
    <mergeCell ref="Q144:R144"/>
    <mergeCell ref="Q145:R145"/>
    <mergeCell ref="Q146:R146"/>
    <mergeCell ref="O142:P142"/>
    <mergeCell ref="O143:P143"/>
    <mergeCell ref="O146:P146"/>
    <mergeCell ref="O144:P144"/>
    <mergeCell ref="O145:P145"/>
    <mergeCell ref="M142:N142"/>
    <mergeCell ref="S149:T149"/>
    <mergeCell ref="M140:N140"/>
    <mergeCell ref="O140:P140"/>
    <mergeCell ref="S147:T147"/>
    <mergeCell ref="D184:R184"/>
    <mergeCell ref="C189:H191"/>
    <mergeCell ref="D173:Q173"/>
    <mergeCell ref="O163:P163"/>
    <mergeCell ref="O164:P164"/>
    <mergeCell ref="M162:N162"/>
    <mergeCell ref="D183:L183"/>
    <mergeCell ref="S183:T183"/>
    <mergeCell ref="M158:N158"/>
    <mergeCell ref="Q182:R182"/>
    <mergeCell ref="M182:N182"/>
    <mergeCell ref="O182:P182"/>
    <mergeCell ref="S180:T180"/>
    <mergeCell ref="S181:T181"/>
    <mergeCell ref="Q181:R181"/>
    <mergeCell ref="S160:T160"/>
    <mergeCell ref="S162:T162"/>
    <mergeCell ref="S163:T163"/>
    <mergeCell ref="S164:T164"/>
    <mergeCell ref="S166:T166"/>
    <mergeCell ref="Q162:R162"/>
    <mergeCell ref="Q163:R163"/>
    <mergeCell ref="Q164:R164"/>
    <mergeCell ref="M160:N160"/>
    <mergeCell ref="D149:L149"/>
    <mergeCell ref="D155:H155"/>
    <mergeCell ref="I155:L155"/>
    <mergeCell ref="J152:N152"/>
    <mergeCell ref="D164:L164"/>
    <mergeCell ref="R189:T189"/>
    <mergeCell ref="R191:T191"/>
    <mergeCell ref="D171:Q171"/>
    <mergeCell ref="D172:Q172"/>
    <mergeCell ref="O178:P178"/>
    <mergeCell ref="O179:P179"/>
    <mergeCell ref="S184:T184"/>
    <mergeCell ref="D166:L166"/>
    <mergeCell ref="D179:L179"/>
    <mergeCell ref="S179:T179"/>
    <mergeCell ref="Q178:R178"/>
    <mergeCell ref="Q179:R179"/>
    <mergeCell ref="S171:T171"/>
    <mergeCell ref="S172:T172"/>
    <mergeCell ref="S173:T173"/>
    <mergeCell ref="D180:L180"/>
    <mergeCell ref="D181:L181"/>
    <mergeCell ref="D182:L182"/>
    <mergeCell ref="J178:N178"/>
    <mergeCell ref="M156:N156"/>
    <mergeCell ref="M157:N157"/>
    <mergeCell ref="D142:L142"/>
    <mergeCell ref="M144:N144"/>
    <mergeCell ref="D46:G46"/>
    <mergeCell ref="Q45:R45"/>
    <mergeCell ref="O45:P45"/>
    <mergeCell ref="S45:T45"/>
    <mergeCell ref="D42:G42"/>
    <mergeCell ref="D43:G43"/>
    <mergeCell ref="D44:G44"/>
    <mergeCell ref="D45:G45"/>
    <mergeCell ref="K156:L156"/>
    <mergeCell ref="D156:J156"/>
    <mergeCell ref="S156:T156"/>
    <mergeCell ref="S145:T145"/>
    <mergeCell ref="S146:T146"/>
    <mergeCell ref="O156:P156"/>
    <mergeCell ref="Q156:R156"/>
    <mergeCell ref="D144:L144"/>
    <mergeCell ref="D145:L145"/>
    <mergeCell ref="D146:L146"/>
    <mergeCell ref="M155:N155"/>
    <mergeCell ref="D147:L147"/>
    <mergeCell ref="O162:P162"/>
    <mergeCell ref="K157:L157"/>
    <mergeCell ref="D157:J157"/>
    <mergeCell ref="K158:L158"/>
    <mergeCell ref="D158:J158"/>
    <mergeCell ref="D162:L162"/>
    <mergeCell ref="S157:T157"/>
    <mergeCell ref="S158:T158"/>
    <mergeCell ref="O157:P157"/>
    <mergeCell ref="O158:P158"/>
    <mergeCell ref="Q157:R157"/>
    <mergeCell ref="Q158:R158"/>
    <mergeCell ref="O160:P160"/>
    <mergeCell ref="Q160:R160"/>
    <mergeCell ref="Y1:AA1"/>
    <mergeCell ref="Q50:T50"/>
    <mergeCell ref="D49:L49"/>
    <mergeCell ref="S88:T88"/>
    <mergeCell ref="S89:T89"/>
    <mergeCell ref="D88:L88"/>
    <mergeCell ref="D89:L89"/>
    <mergeCell ref="D84:L84"/>
    <mergeCell ref="D80:L80"/>
    <mergeCell ref="S80:T80"/>
    <mergeCell ref="M80:N80"/>
    <mergeCell ref="O80:P80"/>
    <mergeCell ref="Q80:R80"/>
    <mergeCell ref="D85:L85"/>
    <mergeCell ref="D86:L86"/>
    <mergeCell ref="S84:T84"/>
    <mergeCell ref="H17:J17"/>
    <mergeCell ref="N17:O17"/>
    <mergeCell ref="L17:M17"/>
    <mergeCell ref="L19:T19"/>
    <mergeCell ref="C25:D25"/>
    <mergeCell ref="M85:N85"/>
    <mergeCell ref="O85:P85"/>
    <mergeCell ref="D66:K66"/>
    <mergeCell ref="C112:C113"/>
    <mergeCell ref="D97:H97"/>
    <mergeCell ref="D108:H108"/>
    <mergeCell ref="I108:J108"/>
    <mergeCell ref="K108:L108"/>
    <mergeCell ref="K99:L99"/>
    <mergeCell ref="K100:L100"/>
    <mergeCell ref="K101:L101"/>
    <mergeCell ref="C97:C101"/>
    <mergeCell ref="C102:C103"/>
    <mergeCell ref="C104:C105"/>
    <mergeCell ref="C106:C107"/>
    <mergeCell ref="C108:C109"/>
    <mergeCell ref="I97:L97"/>
    <mergeCell ref="D107:J107"/>
    <mergeCell ref="D109:N109"/>
    <mergeCell ref="D105:N105"/>
    <mergeCell ref="M110:R110"/>
    <mergeCell ref="D110:L110"/>
    <mergeCell ref="D104:H104"/>
    <mergeCell ref="D106:H106"/>
    <mergeCell ref="O108:P109"/>
    <mergeCell ref="O101:P101"/>
    <mergeCell ref="O102:P103"/>
    <mergeCell ref="S104:T105"/>
    <mergeCell ref="S106:T107"/>
    <mergeCell ref="S108:T109"/>
    <mergeCell ref="S110:T110"/>
    <mergeCell ref="S101:T101"/>
    <mergeCell ref="E27:K27"/>
    <mergeCell ref="E28:K28"/>
    <mergeCell ref="E29:K29"/>
    <mergeCell ref="M97:N97"/>
    <mergeCell ref="O96:T97"/>
    <mergeCell ref="O98:P98"/>
    <mergeCell ref="O99:P99"/>
    <mergeCell ref="O100:P100"/>
    <mergeCell ref="S98:T98"/>
    <mergeCell ref="S99:T99"/>
    <mergeCell ref="S100:T100"/>
    <mergeCell ref="Q85:R85"/>
    <mergeCell ref="S85:T85"/>
    <mergeCell ref="S86:T86"/>
    <mergeCell ref="O86:P86"/>
    <mergeCell ref="Q86:R86"/>
    <mergeCell ref="D77:L77"/>
    <mergeCell ref="D78:L78"/>
    <mergeCell ref="C28:D28"/>
    <mergeCell ref="C29:D29"/>
    <mergeCell ref="C30:D30"/>
    <mergeCell ref="E25:K25"/>
    <mergeCell ref="E26:K26"/>
    <mergeCell ref="S66:T66"/>
    <mergeCell ref="M25:N25"/>
    <mergeCell ref="O30:T30"/>
    <mergeCell ref="M30:N30"/>
    <mergeCell ref="O25:T25"/>
    <mergeCell ref="O26:T26"/>
    <mergeCell ref="O27:T27"/>
    <mergeCell ref="O31:T31"/>
    <mergeCell ref="M26:N26"/>
    <mergeCell ref="M27:N27"/>
    <mergeCell ref="M28:N28"/>
    <mergeCell ref="M29:N29"/>
    <mergeCell ref="M31:N31"/>
    <mergeCell ref="S42:T42"/>
    <mergeCell ref="S43:T43"/>
    <mergeCell ref="S44:T44"/>
    <mergeCell ref="S46:T46"/>
    <mergeCell ref="S47:T47"/>
    <mergeCell ref="M53:N53"/>
    <mergeCell ref="O53:P53"/>
  </mergeCells>
  <conditionalFormatting sqref="A1:Q1">
    <cfRule type="expression" dxfId="37" priority="20">
      <formula>OR(AND(OR(VA_FEHLER_AB&gt;0,VA_FEHLER_C&gt;0),VA_KOSTENANALYSE&lt;&gt;2),VA_FEHLER_D&gt;0)</formula>
    </cfRule>
    <cfRule type="expression" dxfId="36" priority="42">
      <formula>AND(VA_FEHLER_CD=1,VA_KOSTENANALYSE=1)</formula>
    </cfRule>
  </conditionalFormatting>
  <conditionalFormatting sqref="C155:L158 C40:T40 C42:L51 O42:P51 C53:T53 C55:K58 O55:P58 C60:T60 C62:K62 O62 C64:T64 C66:K68 O66:P71 C69:L71 C73:T73 C75:L80 O76:P80 C82:T82 C84:L86 O85:P86 C94:H94 T94 O96 C96:L101 C102:N109 C110:R110 C112 O112 C117:T117 C119:P121 C127:T127 C129:L132 O129:P132 C134:T134 C136:L138 O136:P138 C140:T140 C142:L147 O142:P147 C153:T153 O156:P158 C160:T160 C162:L164 O162:P164 C176:T176 C178:I178 O178:P179 C179:N179 C180:R181 C182:L182 O182 Q182:S182 C183:R184">
    <cfRule type="expression" dxfId="35" priority="21">
      <formula>OR(VA_KOSTENANALYSE=0,AND(VA_KOSTENANALYSE=1,OR(VA_FEHLERMODUL&lt;&gt;0,VA_FEHLER_AB&lt;&gt;0,VA_FEHLER_C&lt;&gt;0,VA_FEHLER_CD=1)))</formula>
    </cfRule>
  </conditionalFormatting>
  <conditionalFormatting sqref="C36:T36">
    <cfRule type="expression" dxfId="34" priority="34">
      <formula>OR($B$36=2,$B$36=3)</formula>
    </cfRule>
    <cfRule type="expression" dxfId="33" priority="36">
      <formula>OR($B$36=4,$B$36=5)</formula>
    </cfRule>
  </conditionalFormatting>
  <conditionalFormatting sqref="C88:T90 Q42:T46 M42:N48 S47 N49 M50:N51 L55:N58 Q55:T58 L62:M62 Q62:T62 L66:L68 M66:N71 Q66:T71 S75:T80 M76:N77 Q76:R78 M80 Q80 S84:T86 M85 Q85:R86 M98:N101 O98:T109 S110 D112:N113 Q112:T113 C115:T115 Q119:T121 C123:T123 M129:N131 Q129:T131 S132 M136:N137 Q136:T138 M142 Q142:T146 M144:N145 S147 C149:T149 M155:N158 Q156:T158 M162 Q162:T164 C166:T166 C171:T173 J178 Q178:R179 S179:T181 M182 S183:T184 R191">
    <cfRule type="expression" dxfId="32" priority="22">
      <formula>OR(VA_KOSTENANALYSE=0,AND(VA_KOSTENANALYSE=1,OR(VA_FEHLERMODUL&lt;&gt;0,VA_FEHLER_AB&lt;&gt;0,VA_FEHLER_C&lt;&gt;0,VA_FEHLER_CD=1)))</formula>
    </cfRule>
  </conditionalFormatting>
  <conditionalFormatting sqref="I155:L155">
    <cfRule type="expression" dxfId="31" priority="13">
      <formula>$M$155-($M$156+$M$157+$M$158)&lt;=0</formula>
    </cfRule>
  </conditionalFormatting>
  <conditionalFormatting sqref="K156:N157 M158 K158 J152">
    <cfRule type="expression" dxfId="30" priority="23">
      <formula>AND(VA_FEHLER_D=1,($M$157+$M$156+$M$158)&gt;$M$155)</formula>
    </cfRule>
  </conditionalFormatting>
  <conditionalFormatting sqref="M34">
    <cfRule type="expression" dxfId="29" priority="41">
      <formula>VA_KOSTENANALYSE&gt;0</formula>
    </cfRule>
  </conditionalFormatting>
  <conditionalFormatting sqref="M42:M46 M48:M50">
    <cfRule type="expression" dxfId="28" priority="19">
      <formula>VA_KOSTENANALYSE&lt;2</formula>
    </cfRule>
  </conditionalFormatting>
  <conditionalFormatting sqref="M48 M50 Q48 Q50">
    <cfRule type="expression" dxfId="27" priority="51">
      <formula>AND(VA_FEHLER_D=1,VA_KOSTENANALYSE=2,SUM($M$48:$M$50)&gt;$M$47)</formula>
    </cfRule>
  </conditionalFormatting>
  <conditionalFormatting sqref="M51 Q51">
    <cfRule type="expression" dxfId="26" priority="139">
      <formula>OR(AND(VA_KOSTENANALYSE=1,VA_FEHLER_D=1,$M$51&gt;SUM($N$48:$N$50)),AND(VA_KOSTENANALYSE=2,VA_FEHLER_D=1,$M$51&gt;SUM($M$48:$M$50)))</formula>
    </cfRule>
  </conditionalFormatting>
  <conditionalFormatting sqref="M90:T90 M92:M96 N94 N96">
    <cfRule type="expression" dxfId="25" priority="2">
      <formula>AND(VA_FEHLER_D=1,($S$110+$S$112)&gt;$S$88)</formula>
    </cfRule>
  </conditionalFormatting>
  <conditionalFormatting sqref="N34">
    <cfRule type="expression" dxfId="24" priority="37">
      <formula>VA_KOSTENANALYSE=0</formula>
    </cfRule>
  </conditionalFormatting>
  <conditionalFormatting sqref="N42:N46 N48:N50">
    <cfRule type="expression" dxfId="23" priority="15">
      <formula>VA_KOSTENANALYSE=2</formula>
    </cfRule>
  </conditionalFormatting>
  <conditionalFormatting sqref="Q120 L120">
    <cfRule type="expression" dxfId="22" priority="27">
      <formula>AND(VA_FEHLER_D=1,$S$120&gt;$S$119)</formula>
    </cfRule>
  </conditionalFormatting>
  <conditionalFormatting sqref="S88 S110 S112 M115:S115 N93">
    <cfRule type="expression" dxfId="21" priority="143">
      <formula>AND(VA_FEHLER_D=1,($S$110+$S$112)&gt;$S$88)</formula>
    </cfRule>
  </conditionalFormatting>
  <conditionalFormatting sqref="S171:T173">
    <cfRule type="expression" dxfId="20" priority="29">
      <formula>VA_FEHLER_D=1</formula>
    </cfRule>
    <cfRule type="expression" dxfId="19" priority="31">
      <formula>S171&gt;0</formula>
    </cfRule>
    <cfRule type="expression" dxfId="18" priority="32">
      <formula>S171&lt;0</formula>
    </cfRule>
    <cfRule type="expression" dxfId="17" priority="33">
      <formula>S171=0</formula>
    </cfRule>
  </conditionalFormatting>
  <conditionalFormatting sqref="Y1">
    <cfRule type="expression" dxfId="16" priority="6">
      <formula>V_ARBEIT=0</formula>
    </cfRule>
  </conditionalFormatting>
  <dataValidations count="17">
    <dataValidation type="list" allowBlank="1" showErrorMessage="1" errorTitle="Eingabefehler" error="Bitte Eintrag aus der Auswahlliste wählen." sqref="N34:T34" xr:uid="{E499B20B-9D57-4333-B46F-4D13CE9AAC83}">
      <formula1>R_KOSTENANALYSE</formula1>
    </dataValidation>
    <dataValidation type="whole" operator="greaterThanOrEqual" allowBlank="1" showInputMessage="1" showErrorMessage="1" errorTitle="Eingabefehler" error="Nur ganze, positive Zahlen sowie Null erlaubt." sqref="M62 Q130:R130 M55:M58 Q62:R62 Q66:R71 Q78:R78 Q86:R86 M136:N137 Q138:R138 Q143:R146 M144:N145 Q178:R178 Q163:R164 M162:N162 M156:N158 M42:M46 M66:M71 Q42:R46 Q55:R58 O102:P103" xr:uid="{4E5201C6-DFA3-4E8A-B0E7-2A91C04A3528}">
      <formula1>0</formula1>
    </dataValidation>
    <dataValidation type="list" allowBlank="1" showInputMessage="1" showErrorMessage="1" errorTitle="Eingabefehler" error="Bitte Eintrag aus der Auswahlliste wählen." sqref="M76:N77 M85:N85" xr:uid="{B02E5283-6F25-45B0-8B6D-DAF171BC4408}">
      <formula1>"ja,nein"</formula1>
    </dataValidation>
    <dataValidation type="whole" operator="greaterThanOrEqual" allowBlank="1" showInputMessage="1" showErrorMessage="1" errorTitle="Eingabefehler" error="Nur ganze, positive Zahlen sowie Null erlaubt." prompt="Hier eingetragener Wert wird Berechnungsgrundlage für Fördersatz. Feld leer lassen, wenn gesamte Herstellungskosten zuwendungsfähig sind." sqref="M113:N113" xr:uid="{9B115CB7-FEF7-4F07-B4D1-FFDB29453EB2}">
      <formula1>0</formula1>
    </dataValidation>
    <dataValidation type="decimal" allowBlank="1" showInputMessage="1" showErrorMessage="1" errorTitle="Eingabefehler" error="Nur ganze Zahlen zwischen 0 und 100 erlaubt." prompt="Feld leer lassen oder 0 eintragen, wenn kein Förderprogramm." sqref="Q112:R113" xr:uid="{AA18B5CF-E85C-48C7-9640-437EA72EE097}">
      <formula1>0</formula1>
      <formula2>1</formula2>
    </dataValidation>
    <dataValidation type="decimal" operator="greaterThanOrEqual" allowBlank="1" showInputMessage="1" showErrorMessage="1" errorTitle="Eingabefehler" error="Nur ganze, positive Zahlen sowie Null erlaubt." sqref="Q85:R85 Q80:R80 Q76:R77" xr:uid="{2F3FDF02-F6D9-411D-9F78-0E7C2B49426E}">
      <formula1>0</formula1>
    </dataValidation>
    <dataValidation type="whole" allowBlank="1" showInputMessage="1" showErrorMessage="1" errorTitle="Eingabefehler" error="Betrag darf nicht höher sein als verbleibender Investitionsanteil (J1)." sqref="Q120:R120" xr:uid="{FA8BA86D-3E99-498B-839A-C8B1114528F9}">
      <formula1>0</formula1>
      <formula2>S119</formula2>
    </dataValidation>
    <dataValidation type="decimal" operator="greaterThanOrEqual" allowBlank="1" showInputMessage="1" showErrorMessage="1" errorTitle="Eingabefehler" error="Nur positive Zahlen sowie Null erlaubt." sqref="Q129:R129 Q131:R131 Q142:R142 Q137:R137 Q156:R158 Q162:R162" xr:uid="{4BEA8BD9-A920-413E-AFB6-9759915C523E}">
      <formula1>0</formula1>
    </dataValidation>
    <dataValidation type="decimal" operator="greaterThanOrEqual" allowBlank="1" showInputMessage="1" showErrorMessage="1" errorTitle="Eingabefehler" error="Nur positive Zahlen sowie Null erlaubt." promptTitle="Voreinstellung" prompt="_x000a_0,43€/kWh _x000a__x000a_Durchschnittspreis im April 2023_x000a__x000a_(Quelle: Verivox)" sqref="Q136:R136" xr:uid="{6C3635A2-5212-41A1-A6B9-2EC5DA9E3A12}">
      <formula1>0</formula1>
    </dataValidation>
    <dataValidation type="decimal" allowBlank="1" showInputMessage="1" showErrorMessage="1" errorTitle="Eingabefehler" error="Nur ganze Zahlen zwischen 0 und 100 erlaubt." promptTitle="Dateneingabe in dieses Feld:" prompt="Geschätzter Anteil der neu gebauten, entgeltpflichtigen Stellplätze, die von Neukunden genutzt werden." sqref="M182:N182" xr:uid="{75AD5CC7-7D75-41A9-9779-95ECD76A36F7}">
      <formula1>0</formula1>
      <formula2>1</formula2>
    </dataValidation>
    <dataValidation type="decimal" allowBlank="1" showInputMessage="1" showErrorMessage="1" errorTitle="Eingabefehler" error="Nur ganze Zahlen zwischen 0 und 100 erlaubt." sqref="Q179:R179 Q108:R109 Q98:R105" xr:uid="{0E3F4478-1D71-4861-959F-8B75C0A1E605}">
      <formula1>0</formula1>
      <formula2>1</formula2>
    </dataValidation>
    <dataValidation type="whole" allowBlank="1" showInputMessage="1" showErrorMessage="1" errorTitle="Eingabefehler" error="Wert darf nicht höher sein als Summer gesichrter Abstellplätze (Summe A6a bis A6c)." sqref="M51:N51" xr:uid="{40A7EFF3-961E-488D-911F-24FDD35A1F9F}">
      <formula1>0</formula1>
      <formula2>IF(VA_KOSTENANALYSE&lt;2,SUM(N48:N50),SUM(M48:M50))</formula2>
    </dataValidation>
    <dataValidation type="textLength" allowBlank="1" showInputMessage="1" showErrorMessage="1" errorTitle="Eingabefehler" error="Es sind maximal 70 Zeichen (inkl. Leerzeichen) erlaubt." sqref="D112:L112" xr:uid="{0356741F-A699-45FB-8937-DA4FE01CBC8E}">
      <formula1>0</formula1>
      <formula2>70</formula2>
    </dataValidation>
    <dataValidation allowBlank="1" showInputMessage="1" showErrorMessage="1" promptTitle="Berechnungsgrundlage" prompt="_x000a_Ausleuchtung eines Quadratmeters: Einsatz von LEDs mit einer Lichtausbeute vom 90 lm/W und einem Verbrauch von 2,22 W/m² (entspricht 200 lx Beleuchtungsstärke)._x000a__x000a_Betriebszeit der LEDs: 12 Stunden je Tag an 365 Tagen." sqref="D136:L136" xr:uid="{D491B5E9-B06D-4773-85A7-BD5F436E99F6}"/>
    <dataValidation type="whole" allowBlank="1" showInputMessage="1" showErrorMessage="1" errorTitle="Eingabefehler" error="Summe aus A6a bis A6c darf nicht höher sein als Summe Abstelltypen (A1bis5)._x000a__x000a_Ggf. zuerst Werte aus A6a und A6c löschen und erneut eingeben." sqref="M50" xr:uid="{BFF98289-8D23-47C3-9991-BF7A951BA331}">
      <formula1>0</formula1>
      <formula2>M47-SUM(M48:M49)</formula2>
    </dataValidation>
    <dataValidation type="whole" allowBlank="1" showInputMessage="1" showErrorMessage="1" errorTitle="Eingabefehler" error="Summe aus A6a bis A6c darf nicht höher sein als Summe Abstelltypen (A1bis5)._x000a__x000a_Ggf. zuerst Werte aus A6a und A6c löschen und erneut eingeben." sqref="M48" xr:uid="{99552634-E820-4861-8E75-58E0C64387FD}">
      <formula1>0</formula1>
      <formula2>M47-SUM(M49:M50)</formula2>
    </dataValidation>
    <dataValidation type="decimal" operator="greaterThanOrEqual" allowBlank="1" showInputMessage="1" errorTitle="Fördersatz" error="Bitte dern Fördersatz unter 1a ändern, dies wird dann hier übernommen." promptTitle="Fördersatz" prompt="Bitte dern Fördersatz unter 1a ändern, dies wird dann hier übernommen." sqref="Q106:R107" xr:uid="{0C52E492-900A-4087-9AF6-B3814D57AAB3}">
      <formula1>0</formula1>
    </dataValidation>
  </dataValidations>
  <hyperlinks>
    <hyperlink ref="Q181:R181" location="'D ▪ Kostenanalyse'!M51" tooltip="Hier klicken, um zu Eingabe A7 zu kommen (Stellplätze mit Nutzungsentgelt)." display="Klick = A7 bearbeiten" xr:uid="{F595532A-230F-4EC0-BAFE-0BD307FBF609}"/>
  </hyperlinks>
  <printOptions horizontalCentered="1" verticalCentered="1"/>
  <pageMargins left="0.70866141732283472" right="0.70866141732283472" top="0.78740157480314965" bottom="0.78740157480314965" header="0.39370078740157483" footer="0.27559055118110237"/>
  <pageSetup paperSize="9" fitToHeight="0" orientation="portrait" errors="blank" horizontalDpi="1200" verticalDpi="1200" r:id="rId1"/>
  <headerFooter scaleWithDoc="0">
    <oddHeader>&amp;L&amp;13Kostenanalyse&amp;R&amp;G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rowBreaks count="2" manualBreakCount="2">
    <brk id="91" min="1" max="20" man="1"/>
    <brk id="92" min="1" max="20" man="1"/>
  </rowBreaks>
  <ignoredErrors>
    <ignoredError sqref="S143" formula="1"/>
  </ignoredError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53AD0-9C0C-421E-B047-2DFA062BDA04}">
  <sheetPr codeName="Sheet8">
    <tabColor theme="6" tint="0.59999389629810485"/>
    <pageSetUpPr autoPageBreaks="0" fitToPage="1"/>
  </sheetPr>
  <dimension ref="A1:AA95"/>
  <sheetViews>
    <sheetView showGridLines="0" showRowColHeaders="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4"/>
      <c r="W5" s="204"/>
    </row>
    <row r="6" spans="1:27" ht="18" customHeight="1" x14ac:dyDescent="0.25">
      <c r="B6" s="245"/>
      <c r="C6" s="202" t="s">
        <v>649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18" customHeight="1" x14ac:dyDescent="0.25">
      <c r="B7" s="245"/>
      <c r="C7" s="202" t="s">
        <v>623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18" customHeight="1" x14ac:dyDescent="0.25">
      <c r="B8" s="245"/>
      <c r="C8" s="202" t="s">
        <v>624</v>
      </c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46"/>
      <c r="W8" s="204"/>
    </row>
    <row r="9" spans="1:27" ht="6" customHeight="1" x14ac:dyDescent="0.25">
      <c r="B9" s="245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</row>
    <row r="10" spans="1:27" ht="18" customHeight="1" x14ac:dyDescent="0.25">
      <c r="B10" s="245"/>
      <c r="C10" s="202" t="s">
        <v>957</v>
      </c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46"/>
      <c r="W10" s="204"/>
    </row>
    <row r="11" spans="1:27" ht="18" customHeight="1" x14ac:dyDescent="0.25">
      <c r="B11" s="245"/>
      <c r="C11" s="202" t="s">
        <v>958</v>
      </c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46"/>
      <c r="W11" s="204"/>
    </row>
    <row r="12" spans="1:27" ht="18" customHeight="1" x14ac:dyDescent="0.25">
      <c r="B12" s="245"/>
      <c r="C12" s="202" t="s">
        <v>959</v>
      </c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46"/>
      <c r="W12" s="204"/>
    </row>
    <row r="13" spans="1:27" ht="14.1" customHeight="1" thickBot="1" x14ac:dyDescent="0.3">
      <c r="B13" s="247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9"/>
      <c r="W13" s="204"/>
    </row>
    <row r="14" spans="1:27" ht="18" customHeight="1" thickBot="1" x14ac:dyDescent="0.3">
      <c r="W14" s="204"/>
      <c r="X14" s="501"/>
    </row>
    <row r="15" spans="1:27" ht="32.1" customHeight="1" thickBot="1" x14ac:dyDescent="0.3">
      <c r="B15" s="1733" t="s">
        <v>672</v>
      </c>
      <c r="C15" s="1734"/>
      <c r="D15" s="1734"/>
      <c r="E15" s="1734"/>
      <c r="F15" s="1734"/>
      <c r="G15" s="1734"/>
      <c r="H15" s="1734"/>
      <c r="I15" s="1734"/>
      <c r="J15" s="1734"/>
      <c r="K15" s="1734"/>
      <c r="L15" s="1734"/>
      <c r="M15" s="1734"/>
      <c r="N15" s="1734"/>
      <c r="O15" s="1734"/>
      <c r="P15" s="1734"/>
      <c r="Q15" s="1734"/>
      <c r="R15" s="1734"/>
      <c r="S15" s="1734"/>
      <c r="T15" s="1734"/>
      <c r="U15" s="1735"/>
      <c r="W15" s="204"/>
      <c r="X15" s="501"/>
    </row>
    <row r="16" spans="1:27" ht="18" customHeight="1" thickBot="1" x14ac:dyDescent="0.3">
      <c r="W16" s="204"/>
      <c r="X16" s="501"/>
    </row>
    <row r="17" spans="2:27" ht="6" customHeight="1" x14ac:dyDescent="0.25">
      <c r="B17" s="678"/>
      <c r="C17" s="679"/>
      <c r="D17" s="658"/>
      <c r="E17" s="658"/>
      <c r="F17" s="658"/>
      <c r="G17" s="658"/>
      <c r="H17" s="658"/>
      <c r="I17" s="658"/>
      <c r="J17" s="658"/>
      <c r="K17" s="658"/>
      <c r="L17" s="658"/>
      <c r="M17" s="658"/>
      <c r="N17" s="658"/>
      <c r="O17" s="658"/>
      <c r="P17" s="658"/>
      <c r="Q17" s="658"/>
      <c r="R17" s="658"/>
      <c r="S17" s="658"/>
      <c r="T17" s="658"/>
      <c r="U17" s="680"/>
      <c r="W17" s="204"/>
      <c r="X17" s="501"/>
    </row>
    <row r="18" spans="2:27" ht="24" customHeight="1" x14ac:dyDescent="0.25">
      <c r="B18" s="644"/>
      <c r="C18" s="645" t="s">
        <v>323</v>
      </c>
      <c r="D18" s="646" t="s">
        <v>510</v>
      </c>
      <c r="E18" s="647"/>
      <c r="F18" s="647"/>
      <c r="G18" s="647"/>
      <c r="H18" s="648"/>
      <c r="I18" s="648"/>
      <c r="J18" s="648"/>
      <c r="K18" s="649" t="s">
        <v>511</v>
      </c>
      <c r="L18" s="649" t="s">
        <v>512</v>
      </c>
      <c r="M18" s="649" t="s">
        <v>513</v>
      </c>
      <c r="N18" s="650"/>
      <c r="O18" s="651"/>
      <c r="P18" s="651"/>
      <c r="Q18" s="648"/>
      <c r="R18" s="648"/>
      <c r="S18" s="652"/>
      <c r="T18" s="653" t="s">
        <v>960</v>
      </c>
      <c r="U18" s="654"/>
      <c r="W18" s="204"/>
      <c r="X18" s="501"/>
    </row>
    <row r="19" spans="2:27" ht="6" customHeight="1" x14ac:dyDescent="0.25">
      <c r="B19" s="531"/>
      <c r="C19" s="527"/>
      <c r="D19" s="527"/>
      <c r="E19" s="532"/>
      <c r="F19" s="532"/>
      <c r="G19" s="532"/>
      <c r="H19" s="532"/>
      <c r="I19" s="532"/>
      <c r="J19" s="532"/>
      <c r="K19" s="532"/>
      <c r="L19" s="532"/>
      <c r="N19" s="565"/>
      <c r="O19" s="565"/>
      <c r="P19" s="565"/>
      <c r="Q19" s="532"/>
      <c r="R19" s="532"/>
      <c r="S19" s="532"/>
      <c r="T19" s="532"/>
      <c r="U19" s="533"/>
      <c r="W19" s="204"/>
      <c r="X19" s="501"/>
      <c r="Z19" s="5"/>
      <c r="AA19" s="5"/>
    </row>
    <row r="20" spans="2:27" ht="19.5" customHeight="1" x14ac:dyDescent="0.25">
      <c r="B20" s="531"/>
      <c r="C20" s="551">
        <v>1</v>
      </c>
      <c r="D20" s="1653" t="s">
        <v>601</v>
      </c>
      <c r="E20" s="1653"/>
      <c r="F20" s="1653"/>
      <c r="G20" s="1653"/>
      <c r="H20" s="1653"/>
      <c r="I20" s="1654"/>
      <c r="J20" s="567"/>
      <c r="K20" s="553"/>
      <c r="L20" s="552"/>
      <c r="M20" s="554"/>
      <c r="N20" s="1635" t="s">
        <v>606</v>
      </c>
      <c r="O20" s="1636"/>
      <c r="P20" s="1719"/>
      <c r="Q20" s="1720"/>
      <c r="R20" s="1720"/>
      <c r="S20" s="1721"/>
      <c r="T20" s="1002"/>
      <c r="U20" s="533"/>
      <c r="W20" s="204"/>
      <c r="X20" s="501"/>
      <c r="Z20" s="5"/>
      <c r="AA20" s="5"/>
    </row>
    <row r="21" spans="2:27" ht="19.5" customHeight="1" x14ac:dyDescent="0.25">
      <c r="B21" s="531"/>
      <c r="C21" s="555">
        <v>2</v>
      </c>
      <c r="D21" s="1615" t="s">
        <v>602</v>
      </c>
      <c r="E21" s="1615"/>
      <c r="F21" s="1615"/>
      <c r="G21" s="1615"/>
      <c r="H21" s="1615"/>
      <c r="I21" s="1616"/>
      <c r="J21" s="574"/>
      <c r="K21" s="550"/>
      <c r="L21" s="550"/>
      <c r="M21" s="550"/>
      <c r="N21" s="1659" t="s">
        <v>607</v>
      </c>
      <c r="O21" s="1715"/>
      <c r="P21" s="1626"/>
      <c r="Q21" s="1627"/>
      <c r="R21" s="1627"/>
      <c r="S21" s="1628"/>
      <c r="T21" s="1003"/>
      <c r="U21" s="533"/>
      <c r="W21" s="204"/>
      <c r="X21" s="501"/>
    </row>
    <row r="22" spans="2:27" ht="20.100000000000001" customHeight="1" x14ac:dyDescent="0.25">
      <c r="B22" s="531"/>
      <c r="C22" s="555">
        <v>3</v>
      </c>
      <c r="D22" s="1615" t="s">
        <v>520</v>
      </c>
      <c r="E22" s="1615"/>
      <c r="F22" s="1615"/>
      <c r="G22" s="1615"/>
      <c r="H22" s="1615"/>
      <c r="I22" s="1615"/>
      <c r="J22" s="550"/>
      <c r="K22" s="572"/>
      <c r="L22" s="573"/>
      <c r="M22" s="573"/>
      <c r="N22" s="1716" t="s">
        <v>576</v>
      </c>
      <c r="O22" s="1715"/>
      <c r="P22" s="1626"/>
      <c r="Q22" s="1627"/>
      <c r="R22" s="1627"/>
      <c r="S22" s="1628"/>
      <c r="T22" s="1003"/>
      <c r="U22" s="533"/>
      <c r="W22" s="204"/>
      <c r="X22" s="501"/>
    </row>
    <row r="23" spans="2:27" ht="20.100000000000001" customHeight="1" x14ac:dyDescent="0.25">
      <c r="B23" s="531"/>
      <c r="C23" s="1594">
        <v>4</v>
      </c>
      <c r="D23" s="1645" t="s">
        <v>521</v>
      </c>
      <c r="E23" s="1646"/>
      <c r="F23" s="1646"/>
      <c r="G23" s="1646"/>
      <c r="H23" s="1646"/>
      <c r="I23" s="1647"/>
      <c r="J23" s="1726"/>
      <c r="K23" s="642"/>
      <c r="L23" s="588"/>
      <c r="M23" s="1618" t="s">
        <v>577</v>
      </c>
      <c r="N23" s="1618"/>
      <c r="O23" s="1619"/>
      <c r="P23" s="1722"/>
      <c r="Q23" s="1722"/>
      <c r="R23" s="1722"/>
      <c r="S23" s="1723"/>
      <c r="T23" s="1004"/>
      <c r="U23" s="533"/>
      <c r="W23" s="204"/>
      <c r="X23" s="501"/>
    </row>
    <row r="24" spans="2:27" ht="19.5" customHeight="1" x14ac:dyDescent="0.25">
      <c r="B24" s="531"/>
      <c r="C24" s="1651"/>
      <c r="D24" s="1648"/>
      <c r="E24" s="1649"/>
      <c r="F24" s="1649"/>
      <c r="G24" s="1649"/>
      <c r="H24" s="1649"/>
      <c r="I24" s="1650"/>
      <c r="J24" s="1727"/>
      <c r="K24" s="562"/>
      <c r="L24" s="562"/>
      <c r="M24" s="562"/>
      <c r="N24" s="1717" t="s">
        <v>578</v>
      </c>
      <c r="O24" s="1718"/>
      <c r="P24" s="1724"/>
      <c r="Q24" s="1724"/>
      <c r="R24" s="1724"/>
      <c r="S24" s="1725"/>
      <c r="T24" s="1005"/>
      <c r="U24" s="533"/>
      <c r="W24" s="204"/>
      <c r="X24" s="501"/>
    </row>
    <row r="25" spans="2:27" ht="20.100000000000001" customHeight="1" x14ac:dyDescent="0.25">
      <c r="B25" s="531"/>
      <c r="C25" s="555">
        <v>5</v>
      </c>
      <c r="D25" s="1615" t="s">
        <v>522</v>
      </c>
      <c r="E25" s="1615"/>
      <c r="F25" s="1615"/>
      <c r="G25" s="1615"/>
      <c r="H25" s="1615"/>
      <c r="I25" s="1616"/>
      <c r="J25" s="573"/>
      <c r="K25" s="573"/>
      <c r="L25" s="573"/>
      <c r="M25" s="573"/>
      <c r="N25" s="616"/>
      <c r="O25" s="618" t="s">
        <v>605</v>
      </c>
      <c r="P25" s="1596"/>
      <c r="Q25" s="1597"/>
      <c r="R25" s="1597"/>
      <c r="S25" s="1598"/>
      <c r="T25" s="1003"/>
      <c r="U25" s="533"/>
      <c r="W25" s="204"/>
      <c r="X25" s="501"/>
    </row>
    <row r="26" spans="2:27" ht="20.100000000000001" customHeight="1" x14ac:dyDescent="0.25">
      <c r="B26" s="531"/>
      <c r="C26" s="556">
        <v>6</v>
      </c>
      <c r="D26" s="1617" t="s">
        <v>523</v>
      </c>
      <c r="E26" s="1617"/>
      <c r="F26" s="1617"/>
      <c r="G26" s="1617"/>
      <c r="H26" s="1617"/>
      <c r="I26" s="1617"/>
      <c r="J26" s="557"/>
      <c r="K26" s="577"/>
      <c r="L26" s="578"/>
      <c r="M26" s="578"/>
      <c r="N26" s="1599"/>
      <c r="O26" s="1600"/>
      <c r="P26" s="1601"/>
      <c r="Q26" s="1643"/>
      <c r="R26" s="1644"/>
      <c r="S26" s="1644"/>
      <c r="T26" s="1006"/>
      <c r="U26" s="533"/>
      <c r="W26" s="204"/>
      <c r="X26" s="501"/>
    </row>
    <row r="27" spans="2:27" ht="12" customHeight="1" x14ac:dyDescent="0.25">
      <c r="B27" s="535"/>
      <c r="C27" s="536"/>
      <c r="D27" s="547"/>
      <c r="E27" s="547"/>
      <c r="F27" s="547"/>
      <c r="G27" s="547"/>
      <c r="H27" s="547"/>
      <c r="I27" s="547"/>
      <c r="J27" s="536"/>
      <c r="K27" s="536"/>
      <c r="L27" s="536"/>
      <c r="M27" s="536"/>
      <c r="N27" s="566"/>
      <c r="O27" s="566"/>
      <c r="P27" s="566"/>
      <c r="Q27" s="536"/>
      <c r="R27" s="536"/>
      <c r="S27" s="536"/>
      <c r="T27" s="536"/>
      <c r="U27" s="537"/>
      <c r="W27" s="204"/>
      <c r="X27" s="501"/>
    </row>
    <row r="28" spans="2:27" ht="24" customHeight="1" x14ac:dyDescent="0.25">
      <c r="B28" s="528"/>
      <c r="C28" s="541" t="s">
        <v>333</v>
      </c>
      <c r="D28" s="428" t="s">
        <v>514</v>
      </c>
      <c r="E28" s="548"/>
      <c r="F28" s="548"/>
      <c r="G28" s="548"/>
      <c r="H28" s="549"/>
      <c r="I28" s="549"/>
      <c r="J28" s="538"/>
      <c r="K28" s="582" t="s">
        <v>511</v>
      </c>
      <c r="L28" s="582" t="s">
        <v>512</v>
      </c>
      <c r="M28" s="582" t="s">
        <v>513</v>
      </c>
      <c r="N28" s="563"/>
      <c r="O28" s="564"/>
      <c r="P28" s="564"/>
      <c r="Q28" s="538"/>
      <c r="R28" s="538"/>
      <c r="S28" s="534"/>
      <c r="T28" s="613" t="s">
        <v>960</v>
      </c>
      <c r="U28" s="530"/>
      <c r="W28" s="204"/>
      <c r="X28" s="501"/>
    </row>
    <row r="29" spans="2:27" ht="6" customHeight="1" x14ac:dyDescent="0.25">
      <c r="B29" s="531"/>
      <c r="C29" s="532"/>
      <c r="D29" s="540"/>
      <c r="E29" s="540"/>
      <c r="F29" s="540"/>
      <c r="G29" s="540"/>
      <c r="H29" s="540"/>
      <c r="I29" s="540"/>
      <c r="J29" s="532"/>
      <c r="K29" s="532"/>
      <c r="L29" s="532"/>
      <c r="M29" s="532"/>
      <c r="N29" s="565"/>
      <c r="O29" s="565"/>
      <c r="P29" s="565"/>
      <c r="Q29" s="532"/>
      <c r="R29" s="532"/>
      <c r="S29" s="532"/>
      <c r="T29" s="532"/>
      <c r="U29" s="533"/>
      <c r="W29" s="204"/>
      <c r="X29" s="501"/>
    </row>
    <row r="30" spans="2:27" ht="20.100000000000001" customHeight="1" x14ac:dyDescent="0.25">
      <c r="B30" s="531"/>
      <c r="C30" s="551">
        <v>1</v>
      </c>
      <c r="D30" s="1653" t="s">
        <v>524</v>
      </c>
      <c r="E30" s="1653"/>
      <c r="F30" s="1653"/>
      <c r="G30" s="1653"/>
      <c r="H30" s="1653"/>
      <c r="I30" s="1654"/>
      <c r="J30" s="567"/>
      <c r="K30" s="553"/>
      <c r="L30" s="552"/>
      <c r="M30" s="554"/>
      <c r="N30" s="1655"/>
      <c r="O30" s="1655"/>
      <c r="P30" s="1635"/>
      <c r="Q30" s="1656"/>
      <c r="R30" s="1657"/>
      <c r="S30" s="1657"/>
      <c r="T30" s="1002"/>
      <c r="U30" s="533"/>
      <c r="W30" s="204"/>
      <c r="X30" s="501"/>
    </row>
    <row r="31" spans="2:27" ht="20.100000000000001" customHeight="1" x14ac:dyDescent="0.25">
      <c r="B31" s="531"/>
      <c r="C31" s="556">
        <v>2</v>
      </c>
      <c r="D31" s="1617" t="s">
        <v>525</v>
      </c>
      <c r="E31" s="1617"/>
      <c r="F31" s="1617"/>
      <c r="G31" s="1617"/>
      <c r="H31" s="1617"/>
      <c r="I31" s="1617"/>
      <c r="J31" s="557"/>
      <c r="K31" s="577"/>
      <c r="L31" s="578"/>
      <c r="M31" s="1620" t="s">
        <v>579</v>
      </c>
      <c r="N31" s="1620"/>
      <c r="O31" s="1599"/>
      <c r="P31" s="1629"/>
      <c r="Q31" s="1630"/>
      <c r="R31" s="1630"/>
      <c r="S31" s="1631"/>
      <c r="T31" s="1006"/>
      <c r="U31" s="533"/>
      <c r="W31" s="204"/>
      <c r="X31" s="501"/>
    </row>
    <row r="32" spans="2:27" ht="12" customHeight="1" x14ac:dyDescent="0.25">
      <c r="B32" s="535"/>
      <c r="C32" s="375"/>
      <c r="D32" s="547"/>
      <c r="E32" s="547"/>
      <c r="F32" s="547"/>
      <c r="G32" s="547"/>
      <c r="H32" s="547"/>
      <c r="I32" s="547"/>
      <c r="J32" s="536"/>
      <c r="K32" s="536"/>
      <c r="L32" s="536"/>
      <c r="M32" s="536"/>
      <c r="N32" s="566"/>
      <c r="O32" s="566"/>
      <c r="P32" s="566"/>
      <c r="Q32" s="536"/>
      <c r="R32" s="536"/>
      <c r="S32" s="536"/>
      <c r="T32" s="536"/>
      <c r="U32" s="537"/>
      <c r="W32" s="204"/>
      <c r="X32" s="501"/>
    </row>
    <row r="33" spans="2:24" ht="24" customHeight="1" x14ac:dyDescent="0.25">
      <c r="B33" s="528"/>
      <c r="C33" s="541" t="s">
        <v>338</v>
      </c>
      <c r="D33" s="428" t="s">
        <v>358</v>
      </c>
      <c r="E33" s="548"/>
      <c r="F33" s="548"/>
      <c r="G33" s="548"/>
      <c r="H33" s="549"/>
      <c r="I33" s="549"/>
      <c r="J33" s="538"/>
      <c r="K33" s="582" t="s">
        <v>511</v>
      </c>
      <c r="L33" s="582" t="s">
        <v>512</v>
      </c>
      <c r="M33" s="582" t="s">
        <v>513</v>
      </c>
      <c r="N33" s="563"/>
      <c r="O33" s="564"/>
      <c r="P33" s="564"/>
      <c r="Q33" s="538"/>
      <c r="R33" s="538"/>
      <c r="S33" s="534"/>
      <c r="T33" s="613" t="s">
        <v>960</v>
      </c>
      <c r="U33" s="530"/>
      <c r="W33" s="204"/>
      <c r="X33" s="501"/>
    </row>
    <row r="34" spans="2:24" ht="6" customHeight="1" x14ac:dyDescent="0.25">
      <c r="B34" s="531"/>
      <c r="C34" s="532"/>
      <c r="D34" s="540"/>
      <c r="E34" s="540"/>
      <c r="F34" s="540"/>
      <c r="G34" s="540"/>
      <c r="H34" s="540"/>
      <c r="I34" s="540"/>
      <c r="J34" s="532"/>
      <c r="K34" s="532"/>
      <c r="L34" s="532"/>
      <c r="M34" s="532"/>
      <c r="N34" s="565"/>
      <c r="O34" s="565"/>
      <c r="P34" s="565"/>
      <c r="Q34" s="532"/>
      <c r="R34" s="532"/>
      <c r="S34" s="532"/>
      <c r="T34" s="532"/>
      <c r="U34" s="533"/>
      <c r="W34" s="204"/>
      <c r="X34" s="501"/>
    </row>
    <row r="35" spans="2:24" ht="20.100000000000001" customHeight="1" x14ac:dyDescent="0.25">
      <c r="B35" s="531"/>
      <c r="C35" s="551">
        <v>1</v>
      </c>
      <c r="D35" s="1653" t="s">
        <v>615</v>
      </c>
      <c r="E35" s="1653"/>
      <c r="F35" s="1653"/>
      <c r="G35" s="1653"/>
      <c r="H35" s="1653"/>
      <c r="I35" s="1654"/>
      <c r="J35" s="569"/>
      <c r="K35" s="569"/>
      <c r="L35" s="569"/>
      <c r="M35" s="569"/>
      <c r="N35" s="1632" t="s">
        <v>580</v>
      </c>
      <c r="O35" s="1632"/>
      <c r="P35" s="1633" t="str">
        <f>IF(OR(VA_KOSTENANALYSE_2=2,VA_KOSTENANALYSE_2=3),'D ▪ Kostenanalyse'!S123,"Eingaben prüfen")</f>
        <v>Eingaben prüfen</v>
      </c>
      <c r="Q35" s="1634"/>
      <c r="R35" s="1634"/>
      <c r="S35" s="1634"/>
      <c r="T35" s="1007"/>
      <c r="U35" s="533"/>
      <c r="W35" s="204"/>
      <c r="X35" s="501"/>
    </row>
    <row r="36" spans="2:24" ht="20.100000000000001" customHeight="1" x14ac:dyDescent="0.25">
      <c r="B36" s="531"/>
      <c r="C36" s="558" t="s">
        <v>363</v>
      </c>
      <c r="D36" s="1615" t="s">
        <v>527</v>
      </c>
      <c r="E36" s="1615"/>
      <c r="F36" s="1615"/>
      <c r="G36" s="1615"/>
      <c r="H36" s="1615"/>
      <c r="I36" s="1616"/>
      <c r="J36" s="574"/>
      <c r="K36" s="550"/>
      <c r="L36" s="550"/>
      <c r="M36" s="550"/>
      <c r="N36" s="1621" t="s">
        <v>581</v>
      </c>
      <c r="O36" s="1622"/>
      <c r="P36" s="1623" t="s">
        <v>799</v>
      </c>
      <c r="Q36" s="1624"/>
      <c r="R36" s="1624"/>
      <c r="S36" s="1625"/>
      <c r="T36" s="1003"/>
      <c r="U36" s="533"/>
      <c r="W36" s="204"/>
      <c r="X36" s="501"/>
    </row>
    <row r="37" spans="2:24" ht="20.100000000000001" customHeight="1" x14ac:dyDescent="0.25">
      <c r="B37" s="531"/>
      <c r="C37" s="555" t="s">
        <v>364</v>
      </c>
      <c r="D37" s="1615" t="s">
        <v>528</v>
      </c>
      <c r="E37" s="1615"/>
      <c r="F37" s="1615"/>
      <c r="G37" s="1615"/>
      <c r="H37" s="1615"/>
      <c r="I37" s="1616"/>
      <c r="J37" s="574"/>
      <c r="K37" s="550"/>
      <c r="L37" s="550"/>
      <c r="M37" s="550"/>
      <c r="N37" s="1621" t="s">
        <v>582</v>
      </c>
      <c r="O37" s="1622"/>
      <c r="P37" s="1626"/>
      <c r="Q37" s="1627"/>
      <c r="R37" s="1627"/>
      <c r="S37" s="1628"/>
      <c r="T37" s="1003"/>
      <c r="U37" s="533"/>
      <c r="W37" s="204"/>
      <c r="X37" s="501"/>
    </row>
    <row r="38" spans="2:24" ht="20.100000000000001" customHeight="1" x14ac:dyDescent="0.25">
      <c r="B38" s="531"/>
      <c r="C38" s="556">
        <v>3</v>
      </c>
      <c r="D38" s="1617" t="s">
        <v>529</v>
      </c>
      <c r="E38" s="1617"/>
      <c r="F38" s="1617"/>
      <c r="G38" s="1617"/>
      <c r="H38" s="1617"/>
      <c r="I38" s="1617"/>
      <c r="J38" s="557"/>
      <c r="K38" s="577"/>
      <c r="L38" s="578"/>
      <c r="M38" s="578"/>
      <c r="N38" s="1620" t="s">
        <v>583</v>
      </c>
      <c r="O38" s="1599"/>
      <c r="P38" s="1629"/>
      <c r="Q38" s="1630"/>
      <c r="R38" s="1630"/>
      <c r="S38" s="1631"/>
      <c r="T38" s="1006"/>
      <c r="U38" s="533"/>
      <c r="W38" s="204"/>
      <c r="X38" s="501"/>
    </row>
    <row r="39" spans="2:24" ht="12" customHeight="1" x14ac:dyDescent="0.25">
      <c r="B39" s="535"/>
      <c r="C39" s="536"/>
      <c r="D39" s="547"/>
      <c r="E39" s="547"/>
      <c r="F39" s="547"/>
      <c r="G39" s="547"/>
      <c r="H39" s="547"/>
      <c r="I39" s="547"/>
      <c r="J39" s="536"/>
      <c r="K39" s="536"/>
      <c r="L39" s="536"/>
      <c r="M39" s="536"/>
      <c r="N39" s="566"/>
      <c r="O39" s="566"/>
      <c r="P39" s="566"/>
      <c r="Q39" s="536"/>
      <c r="R39" s="536"/>
      <c r="S39" s="536"/>
      <c r="T39" s="536"/>
      <c r="U39" s="537"/>
      <c r="W39" s="204"/>
      <c r="X39" s="501"/>
    </row>
    <row r="40" spans="2:24" ht="24" customHeight="1" x14ac:dyDescent="0.25">
      <c r="B40" s="528"/>
      <c r="C40" s="541" t="s">
        <v>341</v>
      </c>
      <c r="D40" s="428" t="s">
        <v>515</v>
      </c>
      <c r="E40" s="548"/>
      <c r="F40" s="548"/>
      <c r="G40" s="548"/>
      <c r="H40" s="549"/>
      <c r="I40" s="549"/>
      <c r="J40" s="538"/>
      <c r="K40" s="582" t="s">
        <v>511</v>
      </c>
      <c r="L40" s="582" t="s">
        <v>512</v>
      </c>
      <c r="M40" s="582" t="s">
        <v>513</v>
      </c>
      <c r="N40" s="563"/>
      <c r="O40" s="564"/>
      <c r="P40" s="564"/>
      <c r="Q40" s="538"/>
      <c r="R40" s="538"/>
      <c r="S40" s="534"/>
      <c r="T40" s="613" t="s">
        <v>960</v>
      </c>
      <c r="U40" s="530"/>
      <c r="W40" s="204"/>
      <c r="X40" s="501"/>
    </row>
    <row r="41" spans="2:24" ht="6" customHeight="1" x14ac:dyDescent="0.25">
      <c r="B41" s="531"/>
      <c r="C41" s="532"/>
      <c r="D41" s="540"/>
      <c r="E41" s="540"/>
      <c r="F41" s="540"/>
      <c r="G41" s="540"/>
      <c r="H41" s="540"/>
      <c r="I41" s="540"/>
      <c r="J41" s="532"/>
      <c r="K41" s="532"/>
      <c r="L41" s="532"/>
      <c r="M41" s="532"/>
      <c r="N41" s="565"/>
      <c r="O41" s="565"/>
      <c r="P41" s="565"/>
      <c r="Q41" s="532"/>
      <c r="R41" s="532"/>
      <c r="S41" s="532"/>
      <c r="T41" s="532"/>
      <c r="U41" s="533"/>
      <c r="W41" s="204"/>
      <c r="X41" s="501"/>
    </row>
    <row r="42" spans="2:24" ht="20.100000000000001" customHeight="1" x14ac:dyDescent="0.25">
      <c r="B42" s="531"/>
      <c r="C42" s="551">
        <v>1</v>
      </c>
      <c r="D42" s="1653" t="s">
        <v>530</v>
      </c>
      <c r="E42" s="1653"/>
      <c r="F42" s="1653"/>
      <c r="G42" s="1653"/>
      <c r="H42" s="1653"/>
      <c r="I42" s="1654"/>
      <c r="J42" s="567"/>
      <c r="K42" s="552"/>
      <c r="L42" s="552"/>
      <c r="M42" s="552"/>
      <c r="N42" s="1655"/>
      <c r="O42" s="1655"/>
      <c r="P42" s="1635"/>
      <c r="Q42" s="1656"/>
      <c r="R42" s="1657"/>
      <c r="S42" s="1657"/>
      <c r="T42" s="1007"/>
      <c r="U42" s="533"/>
      <c r="W42" s="204"/>
      <c r="X42" s="501"/>
    </row>
    <row r="43" spans="2:24" ht="20.100000000000001" customHeight="1" x14ac:dyDescent="0.25">
      <c r="B43" s="531"/>
      <c r="C43" s="555">
        <v>2</v>
      </c>
      <c r="D43" s="1615" t="s">
        <v>531</v>
      </c>
      <c r="E43" s="1615"/>
      <c r="F43" s="1615"/>
      <c r="G43" s="1615"/>
      <c r="H43" s="1615"/>
      <c r="I43" s="1616"/>
      <c r="J43" s="574"/>
      <c r="K43" s="550"/>
      <c r="L43" s="550"/>
      <c r="M43" s="550"/>
      <c r="N43" s="1658"/>
      <c r="O43" s="1658"/>
      <c r="P43" s="1659"/>
      <c r="Q43" s="1660"/>
      <c r="R43" s="1661"/>
      <c r="S43" s="1661"/>
      <c r="T43" s="1003"/>
      <c r="U43" s="533"/>
      <c r="W43" s="204"/>
      <c r="X43" s="501"/>
    </row>
    <row r="44" spans="2:24" ht="20.100000000000001" customHeight="1" x14ac:dyDescent="0.25">
      <c r="B44" s="531"/>
      <c r="C44" s="555">
        <v>3</v>
      </c>
      <c r="D44" s="1615" t="s">
        <v>532</v>
      </c>
      <c r="E44" s="1615"/>
      <c r="F44" s="1615"/>
      <c r="G44" s="1615"/>
      <c r="H44" s="1615"/>
      <c r="I44" s="1616"/>
      <c r="J44" s="574"/>
      <c r="K44" s="550"/>
      <c r="L44" s="550"/>
      <c r="M44" s="550"/>
      <c r="N44" s="1659" t="s">
        <v>608</v>
      </c>
      <c r="O44" s="1715"/>
      <c r="P44" s="1626"/>
      <c r="Q44" s="1627"/>
      <c r="R44" s="1627"/>
      <c r="S44" s="1628"/>
      <c r="T44" s="1003"/>
      <c r="U44" s="533"/>
      <c r="W44" s="204"/>
      <c r="X44" s="501"/>
    </row>
    <row r="45" spans="2:24" ht="20.100000000000001" customHeight="1" x14ac:dyDescent="0.25">
      <c r="B45" s="531"/>
      <c r="C45" s="556">
        <v>4</v>
      </c>
      <c r="D45" s="1617" t="s">
        <v>533</v>
      </c>
      <c r="E45" s="1617"/>
      <c r="F45" s="1617"/>
      <c r="G45" s="1617"/>
      <c r="H45" s="1617"/>
      <c r="I45" s="1638"/>
      <c r="J45" s="576"/>
      <c r="K45" s="557"/>
      <c r="L45" s="557"/>
      <c r="M45" s="557"/>
      <c r="N45" s="1601" t="s">
        <v>608</v>
      </c>
      <c r="O45" s="1599"/>
      <c r="P45" s="1629"/>
      <c r="Q45" s="1630"/>
      <c r="R45" s="1630"/>
      <c r="S45" s="1631"/>
      <c r="T45" s="1006"/>
      <c r="U45" s="533"/>
      <c r="W45" s="204"/>
      <c r="X45" s="501"/>
    </row>
    <row r="46" spans="2:24" ht="12" customHeight="1" x14ac:dyDescent="0.25">
      <c r="B46" s="535"/>
      <c r="C46" s="536"/>
      <c r="D46" s="547"/>
      <c r="E46" s="547"/>
      <c r="F46" s="547"/>
      <c r="G46" s="547"/>
      <c r="H46" s="547"/>
      <c r="I46" s="547"/>
      <c r="J46" s="536"/>
      <c r="K46" s="536"/>
      <c r="L46" s="536"/>
      <c r="M46" s="536"/>
      <c r="N46" s="566"/>
      <c r="O46" s="566"/>
      <c r="P46" s="566"/>
      <c r="Q46" s="536"/>
      <c r="R46" s="536"/>
      <c r="S46" s="536"/>
      <c r="T46" s="536"/>
      <c r="U46" s="537"/>
      <c r="W46" s="204"/>
      <c r="X46" s="501"/>
    </row>
    <row r="47" spans="2:24" ht="24" customHeight="1" x14ac:dyDescent="0.25">
      <c r="B47" s="528"/>
      <c r="C47" s="541" t="s">
        <v>348</v>
      </c>
      <c r="D47" s="428" t="s">
        <v>516</v>
      </c>
      <c r="E47" s="548"/>
      <c r="F47" s="548"/>
      <c r="G47" s="548"/>
      <c r="H47" s="549"/>
      <c r="I47" s="549"/>
      <c r="J47" s="538"/>
      <c r="K47" s="534"/>
      <c r="L47" s="534"/>
      <c r="M47" s="534"/>
      <c r="N47" s="563"/>
      <c r="O47" s="564"/>
      <c r="P47" s="564"/>
      <c r="Q47" s="538"/>
      <c r="R47" s="538"/>
      <c r="S47" s="534"/>
      <c r="T47" s="613" t="s">
        <v>960</v>
      </c>
      <c r="U47" s="530"/>
      <c r="W47" s="204"/>
      <c r="X47" s="501"/>
    </row>
    <row r="48" spans="2:24" ht="6" customHeight="1" x14ac:dyDescent="0.25">
      <c r="B48" s="531"/>
      <c r="C48" s="391"/>
      <c r="D48" s="540"/>
      <c r="E48" s="540"/>
      <c r="F48" s="540"/>
      <c r="G48" s="540"/>
      <c r="H48" s="540"/>
      <c r="I48" s="540"/>
      <c r="J48" s="532"/>
      <c r="K48" s="532"/>
      <c r="L48" s="532"/>
      <c r="M48" s="532"/>
      <c r="N48" s="565"/>
      <c r="O48" s="565"/>
      <c r="P48" s="566"/>
      <c r="Q48" s="536"/>
      <c r="R48" s="536"/>
      <c r="S48" s="536"/>
      <c r="T48" s="532"/>
      <c r="U48" s="533"/>
      <c r="W48" s="204"/>
      <c r="X48" s="501"/>
    </row>
    <row r="49" spans="2:24" ht="20.100000000000001" customHeight="1" x14ac:dyDescent="0.25">
      <c r="B49" s="531"/>
      <c r="C49" s="551">
        <v>1</v>
      </c>
      <c r="D49" s="1653" t="s">
        <v>616</v>
      </c>
      <c r="E49" s="1653"/>
      <c r="F49" s="1653"/>
      <c r="G49" s="1653"/>
      <c r="H49" s="1653"/>
      <c r="I49" s="1654"/>
      <c r="J49" s="569"/>
      <c r="K49" s="569"/>
      <c r="L49" s="569"/>
      <c r="M49" s="569"/>
      <c r="N49" s="1632" t="s">
        <v>587</v>
      </c>
      <c r="O49" s="1636"/>
      <c r="P49" s="1736" t="str">
        <f>IF(OR(VA_KOSTENANALYSE_2=2,VA_KOSTENANALYSE_2=3),'D ▪ Kostenanalyse'!S149,"Eingaben prüfen")</f>
        <v>Eingaben prüfen</v>
      </c>
      <c r="Q49" s="1737"/>
      <c r="R49" s="1737"/>
      <c r="S49" s="1738"/>
      <c r="T49" s="1007"/>
      <c r="U49" s="533"/>
      <c r="W49" s="204"/>
      <c r="X49" s="501"/>
    </row>
    <row r="50" spans="2:24" ht="20.100000000000001" customHeight="1" x14ac:dyDescent="0.25">
      <c r="B50" s="531"/>
      <c r="C50" s="556">
        <v>2</v>
      </c>
      <c r="D50" s="1617" t="s">
        <v>603</v>
      </c>
      <c r="E50" s="1617"/>
      <c r="F50" s="1617"/>
      <c r="G50" s="1617"/>
      <c r="H50" s="1617"/>
      <c r="I50" s="1617"/>
      <c r="J50" s="557"/>
      <c r="K50" s="577"/>
      <c r="L50" s="578"/>
      <c r="M50" s="578"/>
      <c r="N50" s="1620" t="s">
        <v>583</v>
      </c>
      <c r="O50" s="1599"/>
      <c r="P50" s="1629"/>
      <c r="Q50" s="1630"/>
      <c r="R50" s="1630"/>
      <c r="S50" s="1631"/>
      <c r="T50" s="1006"/>
      <c r="U50" s="533"/>
      <c r="W50" s="204"/>
      <c r="X50" s="501"/>
    </row>
    <row r="51" spans="2:24" ht="12" customHeight="1" x14ac:dyDescent="0.25">
      <c r="B51" s="535"/>
      <c r="C51" s="536"/>
      <c r="D51" s="547"/>
      <c r="E51" s="547"/>
      <c r="F51" s="547"/>
      <c r="G51" s="547"/>
      <c r="H51" s="547"/>
      <c r="I51" s="547"/>
      <c r="J51" s="536"/>
      <c r="K51" s="536"/>
      <c r="L51" s="536"/>
      <c r="M51" s="536"/>
      <c r="N51" s="566"/>
      <c r="O51" s="566"/>
      <c r="P51" s="566"/>
      <c r="Q51" s="536"/>
      <c r="R51" s="536"/>
      <c r="S51" s="536"/>
      <c r="T51" s="536"/>
      <c r="U51" s="537"/>
      <c r="W51" s="204"/>
      <c r="X51" s="501"/>
    </row>
    <row r="52" spans="2:24" ht="24" customHeight="1" x14ac:dyDescent="0.25">
      <c r="B52" s="528"/>
      <c r="C52" s="541" t="s">
        <v>352</v>
      </c>
      <c r="D52" s="428" t="s">
        <v>517</v>
      </c>
      <c r="E52" s="548"/>
      <c r="F52" s="548"/>
      <c r="G52" s="548"/>
      <c r="H52" s="549"/>
      <c r="I52" s="549"/>
      <c r="J52" s="538"/>
      <c r="K52" s="534"/>
      <c r="L52" s="534"/>
      <c r="M52" s="534"/>
      <c r="N52" s="563"/>
      <c r="O52" s="564"/>
      <c r="P52" s="564"/>
      <c r="Q52" s="538"/>
      <c r="R52" s="538"/>
      <c r="S52" s="534"/>
      <c r="T52" s="613" t="s">
        <v>960</v>
      </c>
      <c r="U52" s="530"/>
      <c r="W52" s="204"/>
      <c r="X52" s="501"/>
    </row>
    <row r="53" spans="2:24" ht="6" customHeight="1" x14ac:dyDescent="0.25">
      <c r="B53" s="531"/>
      <c r="C53" s="391"/>
      <c r="D53" s="540"/>
      <c r="E53" s="540"/>
      <c r="F53" s="540"/>
      <c r="G53" s="540"/>
      <c r="H53" s="540"/>
      <c r="I53" s="540"/>
      <c r="J53" s="532"/>
      <c r="K53" s="532"/>
      <c r="L53" s="532"/>
      <c r="M53" s="532"/>
      <c r="N53" s="565"/>
      <c r="O53" s="565"/>
      <c r="P53" s="566"/>
      <c r="Q53" s="536"/>
      <c r="R53" s="536"/>
      <c r="S53" s="536"/>
      <c r="T53" s="532"/>
      <c r="U53" s="533"/>
      <c r="W53" s="204"/>
      <c r="X53" s="501"/>
    </row>
    <row r="54" spans="2:24" ht="20.100000000000001" customHeight="1" x14ac:dyDescent="0.25">
      <c r="B54" s="531"/>
      <c r="C54" s="551">
        <v>1</v>
      </c>
      <c r="D54" s="1653" t="s">
        <v>535</v>
      </c>
      <c r="E54" s="1653"/>
      <c r="F54" s="1653"/>
      <c r="G54" s="1653"/>
      <c r="H54" s="1653"/>
      <c r="I54" s="1653"/>
      <c r="J54" s="552"/>
      <c r="K54" s="568"/>
      <c r="L54" s="569"/>
      <c r="M54" s="571"/>
      <c r="N54" s="571"/>
      <c r="O54" s="570" t="s">
        <v>617</v>
      </c>
      <c r="P54" s="1739" t="str">
        <f>IF(VA_KOSTENANALYSE=2,'D ▪ Kostenanalyse'!M47,VA_BBGESAMT)</f>
        <v>es fehlen noch Daten</v>
      </c>
      <c r="Q54" s="1740"/>
      <c r="R54" s="1740"/>
      <c r="S54" s="1741"/>
      <c r="T54" s="1002"/>
      <c r="U54" s="533"/>
      <c r="W54" s="204"/>
      <c r="X54" s="501"/>
    </row>
    <row r="55" spans="2:24" ht="20.100000000000001" customHeight="1" x14ac:dyDescent="0.25">
      <c r="B55" s="531"/>
      <c r="C55" s="1594">
        <v>2</v>
      </c>
      <c r="D55" s="1705" t="s">
        <v>536</v>
      </c>
      <c r="E55" s="1705"/>
      <c r="F55" s="1705"/>
      <c r="G55" s="1705"/>
      <c r="H55" s="1705"/>
      <c r="I55" s="1705"/>
      <c r="J55" s="589"/>
      <c r="K55" s="1602" t="s">
        <v>594</v>
      </c>
      <c r="L55" s="1603"/>
      <c r="M55" s="1603"/>
      <c r="N55" s="1603"/>
      <c r="O55" s="1603"/>
      <c r="P55" s="1603"/>
      <c r="Q55" s="1603"/>
      <c r="R55" s="1603"/>
      <c r="S55" s="1604"/>
      <c r="T55" s="1008"/>
      <c r="U55" s="533"/>
      <c r="W55" s="204"/>
      <c r="X55" s="501"/>
    </row>
    <row r="56" spans="2:24" ht="19.5" customHeight="1" x14ac:dyDescent="0.25">
      <c r="B56" s="531"/>
      <c r="C56" s="1651"/>
      <c r="D56" s="1728" t="s">
        <v>537</v>
      </c>
      <c r="E56" s="1728"/>
      <c r="F56" s="1728"/>
      <c r="G56" s="1728"/>
      <c r="H56" s="1728"/>
      <c r="I56" s="1728"/>
      <c r="J56" s="617"/>
      <c r="K56" s="1605" t="s">
        <v>593</v>
      </c>
      <c r="L56" s="1605"/>
      <c r="M56" s="1605"/>
      <c r="N56" s="1605"/>
      <c r="O56" s="1605"/>
      <c r="P56" s="1605"/>
      <c r="Q56" s="1605"/>
      <c r="R56" s="1605"/>
      <c r="S56" s="1606"/>
      <c r="T56" s="1009"/>
      <c r="U56" s="533"/>
      <c r="W56" s="204"/>
      <c r="X56" s="501"/>
    </row>
    <row r="57" spans="2:24" ht="20.100000000000001" customHeight="1" x14ac:dyDescent="0.25">
      <c r="B57" s="531"/>
      <c r="C57" s="555">
        <v>3</v>
      </c>
      <c r="D57" s="1615" t="s">
        <v>538</v>
      </c>
      <c r="E57" s="1615"/>
      <c r="F57" s="1615"/>
      <c r="G57" s="1615"/>
      <c r="H57" s="1615"/>
      <c r="I57" s="1615"/>
      <c r="J57" s="550"/>
      <c r="K57" s="572"/>
      <c r="L57" s="573"/>
      <c r="M57" s="573"/>
      <c r="N57" s="1716"/>
      <c r="O57" s="1716"/>
      <c r="P57" s="1716"/>
      <c r="Q57" s="1729"/>
      <c r="R57" s="1729"/>
      <c r="S57" s="1660"/>
      <c r="T57" s="1003"/>
      <c r="U57" s="533"/>
      <c r="W57" s="204"/>
      <c r="X57" s="501"/>
    </row>
    <row r="58" spans="2:24" ht="20.100000000000001" customHeight="1" x14ac:dyDescent="0.25">
      <c r="B58" s="531"/>
      <c r="C58" s="555">
        <v>4</v>
      </c>
      <c r="D58" s="1615" t="s">
        <v>539</v>
      </c>
      <c r="E58" s="1615"/>
      <c r="F58" s="1615"/>
      <c r="G58" s="1615"/>
      <c r="H58" s="1615"/>
      <c r="I58" s="1615"/>
      <c r="J58" s="550"/>
      <c r="K58" s="572"/>
      <c r="L58" s="573"/>
      <c r="M58" s="573"/>
      <c r="N58" s="1715"/>
      <c r="O58" s="1658"/>
      <c r="P58" s="1659"/>
      <c r="Q58" s="1660"/>
      <c r="R58" s="1661"/>
      <c r="S58" s="1661"/>
      <c r="T58" s="1003"/>
      <c r="U58" s="533"/>
      <c r="W58" s="204"/>
      <c r="X58" s="501"/>
    </row>
    <row r="59" spans="2:24" ht="20.100000000000001" customHeight="1" x14ac:dyDescent="0.25">
      <c r="B59" s="531"/>
      <c r="C59" s="1594">
        <v>5</v>
      </c>
      <c r="D59" s="1705" t="s">
        <v>551</v>
      </c>
      <c r="E59" s="1705"/>
      <c r="F59" s="1705"/>
      <c r="G59" s="1705"/>
      <c r="H59" s="1705"/>
      <c r="I59" s="1705"/>
      <c r="J59" s="560"/>
      <c r="K59" s="572"/>
      <c r="L59" s="573"/>
      <c r="M59" s="579"/>
      <c r="N59" s="1716" t="s">
        <v>584</v>
      </c>
      <c r="O59" s="1715"/>
      <c r="P59" s="1730"/>
      <c r="Q59" s="1731"/>
      <c r="R59" s="1731"/>
      <c r="S59" s="1732"/>
      <c r="T59" s="1003"/>
      <c r="U59" s="533"/>
      <c r="W59" s="204"/>
      <c r="X59" s="501"/>
    </row>
    <row r="60" spans="2:24" ht="20.100000000000001" customHeight="1" x14ac:dyDescent="0.25">
      <c r="B60" s="531"/>
      <c r="C60" s="1651"/>
      <c r="D60" s="1728" t="s">
        <v>552</v>
      </c>
      <c r="E60" s="1728"/>
      <c r="F60" s="1728"/>
      <c r="G60" s="1728"/>
      <c r="H60" s="1728"/>
      <c r="I60" s="1728"/>
      <c r="J60" s="559"/>
      <c r="K60" s="561"/>
      <c r="L60" s="562"/>
      <c r="M60" s="598"/>
      <c r="N60" s="1716" t="s">
        <v>585</v>
      </c>
      <c r="O60" s="1715"/>
      <c r="P60" s="1626"/>
      <c r="Q60" s="1627"/>
      <c r="R60" s="1627"/>
      <c r="S60" s="1628"/>
      <c r="T60" s="1003"/>
      <c r="U60" s="533"/>
      <c r="W60" s="204"/>
      <c r="X60" s="501"/>
    </row>
    <row r="61" spans="2:24" ht="20.100000000000001" customHeight="1" x14ac:dyDescent="0.25">
      <c r="B61" s="531"/>
      <c r="C61" s="556">
        <v>6</v>
      </c>
      <c r="D61" s="1617" t="s">
        <v>540</v>
      </c>
      <c r="E61" s="1617"/>
      <c r="F61" s="1617"/>
      <c r="G61" s="1617"/>
      <c r="H61" s="1617"/>
      <c r="I61" s="1617"/>
      <c r="J61" s="557"/>
      <c r="K61" s="577"/>
      <c r="L61" s="578"/>
      <c r="M61" s="1620" t="s">
        <v>586</v>
      </c>
      <c r="N61" s="1620"/>
      <c r="O61" s="1599"/>
      <c r="P61" s="1629" t="s">
        <v>595</v>
      </c>
      <c r="Q61" s="1630"/>
      <c r="R61" s="1630"/>
      <c r="S61" s="1631"/>
      <c r="T61" s="1006"/>
      <c r="U61" s="533"/>
      <c r="W61" s="204"/>
      <c r="X61" s="501"/>
    </row>
    <row r="62" spans="2:24" ht="12" customHeight="1" x14ac:dyDescent="0.25">
      <c r="B62" s="535"/>
      <c r="C62" s="536"/>
      <c r="D62" s="547"/>
      <c r="E62" s="547"/>
      <c r="F62" s="547"/>
      <c r="G62" s="547"/>
      <c r="H62" s="547"/>
      <c r="I62" s="547"/>
      <c r="J62" s="536"/>
      <c r="K62" s="536"/>
      <c r="L62" s="536"/>
      <c r="M62" s="536"/>
      <c r="N62" s="536"/>
      <c r="O62" s="536"/>
      <c r="P62" s="536"/>
      <c r="Q62" s="536"/>
      <c r="R62" s="536"/>
      <c r="S62" s="536"/>
      <c r="T62" s="536"/>
      <c r="U62" s="537"/>
      <c r="W62" s="204"/>
      <c r="X62" s="501"/>
    </row>
    <row r="63" spans="2:24" ht="24" customHeight="1" x14ac:dyDescent="0.25">
      <c r="B63" s="528"/>
      <c r="C63" s="541" t="s">
        <v>518</v>
      </c>
      <c r="D63" s="428" t="s">
        <v>519</v>
      </c>
      <c r="E63" s="548"/>
      <c r="F63" s="548"/>
      <c r="G63" s="548"/>
      <c r="H63" s="549"/>
      <c r="I63" s="549"/>
      <c r="J63" s="538"/>
      <c r="K63" s="534"/>
      <c r="L63" s="534"/>
      <c r="M63" s="534"/>
      <c r="N63" s="539"/>
      <c r="O63" s="538"/>
      <c r="P63" s="538"/>
      <c r="Q63" s="538"/>
      <c r="R63" s="538"/>
      <c r="S63" s="534"/>
      <c r="T63" s="613" t="s">
        <v>960</v>
      </c>
      <c r="U63" s="530"/>
      <c r="W63" s="204"/>
      <c r="X63" s="501"/>
    </row>
    <row r="64" spans="2:24" ht="6" customHeight="1" x14ac:dyDescent="0.25">
      <c r="B64" s="531"/>
      <c r="C64" s="391"/>
      <c r="D64" s="540"/>
      <c r="E64" s="540"/>
      <c r="F64" s="540"/>
      <c r="G64" s="540"/>
      <c r="H64" s="540"/>
      <c r="I64" s="540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3"/>
      <c r="W64" s="204"/>
      <c r="X64" s="501"/>
    </row>
    <row r="65" spans="2:24" ht="20.100000000000001" customHeight="1" x14ac:dyDescent="0.25">
      <c r="B65" s="531"/>
      <c r="C65" s="551">
        <v>1</v>
      </c>
      <c r="D65" s="1653" t="s">
        <v>541</v>
      </c>
      <c r="E65" s="1653"/>
      <c r="F65" s="1653"/>
      <c r="G65" s="1653"/>
      <c r="H65" s="1653"/>
      <c r="I65" s="1653"/>
      <c r="J65" s="552"/>
      <c r="K65" s="1635" t="s">
        <v>596</v>
      </c>
      <c r="L65" s="1632"/>
      <c r="M65" s="1632"/>
      <c r="N65" s="1632"/>
      <c r="O65" s="584"/>
      <c r="P65" s="643"/>
      <c r="Q65" s="585"/>
      <c r="R65" s="585"/>
      <c r="S65" s="586"/>
      <c r="T65" s="1002"/>
      <c r="U65" s="533"/>
      <c r="W65" s="204"/>
      <c r="X65" s="501"/>
    </row>
    <row r="66" spans="2:24" ht="20.100000000000001" customHeight="1" x14ac:dyDescent="0.25">
      <c r="B66" s="531"/>
      <c r="C66" s="1594">
        <v>2</v>
      </c>
      <c r="D66" s="1705" t="s">
        <v>553</v>
      </c>
      <c r="E66" s="1705"/>
      <c r="F66" s="1705"/>
      <c r="G66" s="1705"/>
      <c r="H66" s="1705"/>
      <c r="I66" s="1705"/>
      <c r="J66" s="1701"/>
      <c r="K66" s="1610" t="s">
        <v>597</v>
      </c>
      <c r="L66" s="1611"/>
      <c r="M66" s="1611"/>
      <c r="N66" s="1612"/>
      <c r="O66" s="1613"/>
      <c r="P66" s="1613"/>
      <c r="Q66" s="1613"/>
      <c r="R66" s="1613"/>
      <c r="S66" s="1614"/>
      <c r="T66" s="1689"/>
      <c r="U66" s="533"/>
      <c r="W66" s="204"/>
      <c r="X66" s="501"/>
    </row>
    <row r="67" spans="2:24" ht="20.100000000000001" customHeight="1" x14ac:dyDescent="0.25">
      <c r="B67" s="531"/>
      <c r="C67" s="1595"/>
      <c r="D67" s="1706" t="s">
        <v>632</v>
      </c>
      <c r="E67" s="1706"/>
      <c r="F67" s="1706"/>
      <c r="G67" s="1706"/>
      <c r="H67" s="1706"/>
      <c r="I67" s="1706"/>
      <c r="J67" s="1702"/>
      <c r="K67" s="1607"/>
      <c r="L67" s="1608"/>
      <c r="M67" s="1608"/>
      <c r="N67" s="1608"/>
      <c r="O67" s="1608"/>
      <c r="P67" s="1608"/>
      <c r="Q67" s="1608"/>
      <c r="R67" s="1608"/>
      <c r="S67" s="1609"/>
      <c r="T67" s="1690"/>
      <c r="U67" s="533"/>
      <c r="W67" s="204"/>
      <c r="X67" s="501"/>
    </row>
    <row r="68" spans="2:24" ht="6" customHeight="1" x14ac:dyDescent="0.25">
      <c r="B68" s="531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 s="533"/>
      <c r="W68" s="204"/>
      <c r="X68" s="501"/>
    </row>
    <row r="69" spans="2:24" ht="20.100000000000001" customHeight="1" x14ac:dyDescent="0.25">
      <c r="B69" s="531"/>
      <c r="C69" s="551">
        <v>3</v>
      </c>
      <c r="D69" s="1653" t="s">
        <v>20</v>
      </c>
      <c r="E69" s="1653"/>
      <c r="F69" s="1653"/>
      <c r="G69" s="1653"/>
      <c r="H69" s="1653"/>
      <c r="I69" s="1654"/>
      <c r="J69" s="879" t="s">
        <v>554</v>
      </c>
      <c r="K69" s="622">
        <f>IF(VA_KOSTENANALYSE=2,'D ▪ Kostenanalyse'!M47-'D ▪ Kostenanalyse'!M48,IF(
OR(VA_FEHLER_AB&gt;0,VA_FEHLER_C&gt;0,VA_FEHLER_CD&gt;0),"---",
0+intern!N80+
IF(OR(VA_BESTANDSEINGABE=1,VA_ZUSAMMEN=1),0,intern!P80)))</f>
        <v>0</v>
      </c>
      <c r="L69" s="1667" t="s">
        <v>555</v>
      </c>
      <c r="M69" s="1668"/>
      <c r="N69" s="622">
        <f>IF(VA_KOSTENANALYSE=2,'D ▪ Kostenanalyse'!M48,IF(
OR(VA_FEHLER_AB&gt;0,VA_FEHLER_C&gt;0,VA_FEHLER_CD&gt;0),"---",
0+intern!O80+
IF(OR(VA_BESTANDSEINGABE=1,VA_ZUSAMMEN=1),0,intern!Q80)))</f>
        <v>0</v>
      </c>
      <c r="O69" s="1635" t="s">
        <v>587</v>
      </c>
      <c r="P69" s="1636"/>
      <c r="Q69" s="1693">
        <f>IF(VA_KOSTENANALYSE=2,'D ▪ Kostenanalyse'!M47,IFERROR(K69+N69,"---"))</f>
        <v>0</v>
      </c>
      <c r="R69" s="1694"/>
      <c r="S69" s="1695"/>
      <c r="T69" s="1007"/>
      <c r="U69" s="533"/>
      <c r="W69" s="204"/>
      <c r="X69" s="501"/>
    </row>
    <row r="70" spans="2:24" ht="20.100000000000001" customHeight="1" x14ac:dyDescent="0.25">
      <c r="B70" s="531"/>
      <c r="C70" s="1594">
        <v>4</v>
      </c>
      <c r="D70" s="623"/>
      <c r="E70" s="590"/>
      <c r="F70" s="590"/>
      <c r="G70" s="590"/>
      <c r="H70" s="590"/>
      <c r="I70" s="640"/>
      <c r="J70" s="1672" t="s">
        <v>598</v>
      </c>
      <c r="K70" s="1618"/>
      <c r="L70" s="1618"/>
      <c r="M70" s="1618"/>
      <c r="N70" s="1618"/>
      <c r="O70" s="1618"/>
      <c r="P70" s="1673"/>
      <c r="Q70" s="1696">
        <f>IF(VA_KOSTENANALYSE=2,'D ▪ Kostenanalyse'!M42,IF(
OR(VA_FEHLER_AB&gt;0,VA_FEHLER_C&gt;0,VA_FEHLER_CD&gt;0),"---",
0+intern!K83+
IF(OR(VA_BESTANDSEINGABE=1,VA_ZUSAMMEN=1),0,intern!U83)))</f>
        <v>0</v>
      </c>
      <c r="R70" s="1697"/>
      <c r="S70" s="1697"/>
      <c r="T70" s="1685"/>
      <c r="U70" s="533"/>
      <c r="W70" s="204"/>
      <c r="X70" s="501"/>
    </row>
    <row r="71" spans="2:24" ht="20.100000000000001" customHeight="1" x14ac:dyDescent="0.25">
      <c r="B71" s="531"/>
      <c r="C71" s="1652"/>
      <c r="D71" s="1674" t="s">
        <v>542</v>
      </c>
      <c r="E71" s="1343"/>
      <c r="F71" s="1343"/>
      <c r="G71" s="1343"/>
      <c r="H71" s="1343"/>
      <c r="I71" s="1709"/>
      <c r="J71" s="1698" t="s">
        <v>619</v>
      </c>
      <c r="K71" s="1699"/>
      <c r="L71" s="1699"/>
      <c r="M71" s="1699"/>
      <c r="N71" s="1699"/>
      <c r="O71" s="1699"/>
      <c r="P71" s="1700"/>
      <c r="Q71" s="1707">
        <f>IF(VA_KOSTENANALYSE=2,'D ▪ Kostenanalyse'!M43,IF(
OR(VA_FEHLER_AB&gt;0,VA_FEHLER_C&gt;0,VA_FEHLER_CD&gt;0),"---",
0+intern!K84+
IF(OR(VA_BESTANDSEINGABE=1,VA_ZUSAMMEN=1),0,intern!U84)))</f>
        <v>0</v>
      </c>
      <c r="R71" s="1708"/>
      <c r="S71" s="1708"/>
      <c r="T71" s="1686"/>
      <c r="U71" s="533"/>
      <c r="W71" s="204"/>
      <c r="X71" s="501"/>
    </row>
    <row r="72" spans="2:24" ht="20.100000000000001" customHeight="1" x14ac:dyDescent="0.25">
      <c r="B72" s="531"/>
      <c r="C72" s="1652"/>
      <c r="D72" s="1674"/>
      <c r="E72" s="1343"/>
      <c r="F72" s="1343"/>
      <c r="G72" s="1343"/>
      <c r="H72" s="1343"/>
      <c r="I72" s="1709"/>
      <c r="J72" s="1669" t="s">
        <v>599</v>
      </c>
      <c r="K72" s="1670"/>
      <c r="L72" s="1670"/>
      <c r="M72" s="1670"/>
      <c r="N72" s="1670"/>
      <c r="O72" s="1670"/>
      <c r="P72" s="1671"/>
      <c r="Q72" s="1691">
        <f>IF(VA_KOSTENANALYSE=2,'D ▪ Kostenanalyse'!M44,IF(
OR(VA_FEHLER_AB&gt;0,VA_FEHLER_C&gt;0,VA_FEHLER_CD&gt;0),"---",
0+intern!K85+
IF(OR(VA_BESTANDSEINGABE=1,VA_ZUSAMMEN=1),0,intern!U85)))</f>
        <v>0</v>
      </c>
      <c r="R72" s="1692"/>
      <c r="S72" s="1692"/>
      <c r="T72" s="1686"/>
      <c r="U72" s="533"/>
      <c r="W72" s="204"/>
      <c r="X72" s="501"/>
    </row>
    <row r="73" spans="2:24" ht="20.100000000000001" customHeight="1" x14ac:dyDescent="0.25">
      <c r="B73" s="531"/>
      <c r="C73" s="1652"/>
      <c r="D73" s="1674"/>
      <c r="E73" s="1343"/>
      <c r="F73" s="1343"/>
      <c r="G73" s="1343"/>
      <c r="H73" s="1343"/>
      <c r="I73" s="1709"/>
      <c r="J73" s="1669" t="s">
        <v>730</v>
      </c>
      <c r="K73" s="1670"/>
      <c r="L73" s="1670"/>
      <c r="M73" s="1670"/>
      <c r="N73" s="1670"/>
      <c r="O73" s="1670"/>
      <c r="P73" s="1671"/>
      <c r="Q73" s="1691">
        <f>IF(VA_KOSTENANALYSE=2,'D ▪ Kostenanalyse'!M45,IF(
OR(VA_FEHLER_AB&gt;0,VA_FEHLER_C&gt;0,VA_FEHLER_CD&gt;0),"---",
0+intern!K86+
IF(OR(VA_BESTANDSEINGABE=1,VA_ZUSAMMEN=1),0,intern!U86)))</f>
        <v>0</v>
      </c>
      <c r="R73" s="1692"/>
      <c r="S73" s="1692"/>
      <c r="T73" s="1686"/>
      <c r="U73" s="533"/>
      <c r="W73" s="204"/>
      <c r="X73" s="501"/>
    </row>
    <row r="74" spans="2:24" ht="20.100000000000001" customHeight="1" x14ac:dyDescent="0.25">
      <c r="B74" s="531"/>
      <c r="C74" s="1651"/>
      <c r="D74" s="591"/>
      <c r="E74" s="592"/>
      <c r="F74" s="592"/>
      <c r="G74" s="592"/>
      <c r="H74" s="592"/>
      <c r="I74" s="592"/>
      <c r="J74" s="1710" t="s">
        <v>600</v>
      </c>
      <c r="K74" s="1711"/>
      <c r="L74" s="1711"/>
      <c r="M74" s="1711"/>
      <c r="N74" s="1711"/>
      <c r="O74" s="1711"/>
      <c r="P74" s="1712" t="s">
        <v>600</v>
      </c>
      <c r="Q74" s="1703">
        <f>IF(VA_KOSTENANALYSE=2,'D ▪ Kostenanalyse'!M46,IF(
OR(VA_FEHLER_AB&gt;0,VA_FEHLER_C&gt;0,VA_FEHLER_CD&gt;0),"---",
0+intern!K87+
IF(OR(VA_BESTANDSEINGABE=1,VA_ZUSAMMEN=1),0,intern!U87)))</f>
        <v>0</v>
      </c>
      <c r="R74" s="1704"/>
      <c r="S74" s="1704"/>
      <c r="T74" s="1687"/>
      <c r="U74" s="533"/>
      <c r="W74" s="204"/>
      <c r="X74" s="501"/>
    </row>
    <row r="75" spans="2:24" ht="20.100000000000001" customHeight="1" x14ac:dyDescent="0.25">
      <c r="B75" s="531"/>
      <c r="C75" s="556">
        <v>5</v>
      </c>
      <c r="D75" s="1677" t="s">
        <v>543</v>
      </c>
      <c r="E75" s="1677"/>
      <c r="F75" s="1677"/>
      <c r="G75" s="1677"/>
      <c r="H75" s="1677"/>
      <c r="I75" s="1678"/>
      <c r="J75" s="880" t="s">
        <v>554</v>
      </c>
      <c r="K75" s="1012">
        <v>0</v>
      </c>
      <c r="L75" s="1682" t="s">
        <v>555</v>
      </c>
      <c r="M75" s="1683"/>
      <c r="N75" s="1012">
        <v>0</v>
      </c>
      <c r="O75" s="1601" t="s">
        <v>587</v>
      </c>
      <c r="P75" s="1599"/>
      <c r="Q75" s="1679">
        <f>IFERROR(K75+N75,"---")</f>
        <v>0</v>
      </c>
      <c r="R75" s="1680"/>
      <c r="S75" s="1681"/>
      <c r="T75" s="1011"/>
      <c r="U75" s="533"/>
      <c r="W75" s="204"/>
      <c r="X75" s="501"/>
    </row>
    <row r="76" spans="2:24" ht="6" customHeight="1" x14ac:dyDescent="0.25">
      <c r="B76" s="531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 s="533"/>
      <c r="W76" s="204"/>
      <c r="X76" s="501"/>
    </row>
    <row r="77" spans="2:24" ht="20.100000000000001" customHeight="1" x14ac:dyDescent="0.25">
      <c r="B77" s="531"/>
      <c r="C77" s="1684">
        <v>6</v>
      </c>
      <c r="D77" s="599"/>
      <c r="E77" s="600"/>
      <c r="F77" s="600"/>
      <c r="G77" s="600"/>
      <c r="H77" s="600"/>
      <c r="I77" s="600"/>
      <c r="J77" s="433"/>
      <c r="K77" s="607"/>
      <c r="L77" s="433"/>
      <c r="M77" s="433"/>
      <c r="N77" s="607"/>
      <c r="O77" s="433"/>
      <c r="P77" s="433"/>
      <c r="Q77" s="570" t="s">
        <v>609</v>
      </c>
      <c r="R77" s="1713"/>
      <c r="S77" s="1714"/>
      <c r="T77" s="1002"/>
      <c r="U77" s="533"/>
      <c r="W77" s="204"/>
      <c r="X77" s="501"/>
    </row>
    <row r="78" spans="2:24" ht="19.5" customHeight="1" x14ac:dyDescent="0.25">
      <c r="B78" s="531"/>
      <c r="C78" s="1652"/>
      <c r="D78" s="1674" t="s">
        <v>544</v>
      </c>
      <c r="E78" s="1343"/>
      <c r="F78" s="1343"/>
      <c r="G78" s="1343"/>
      <c r="H78" s="1343"/>
      <c r="I78" s="1343"/>
      <c r="J78" s="629"/>
      <c r="K78" s="625" t="s">
        <v>556</v>
      </c>
      <c r="L78" s="631"/>
      <c r="M78" s="629"/>
      <c r="N78" s="625" t="s">
        <v>566</v>
      </c>
      <c r="O78" s="626"/>
      <c r="P78" s="629"/>
      <c r="Q78" s="625" t="s">
        <v>557</v>
      </c>
      <c r="R78" s="627"/>
      <c r="S78" s="632"/>
      <c r="T78" s="1685"/>
      <c r="U78" s="533"/>
      <c r="W78" s="204"/>
      <c r="X78" s="501"/>
    </row>
    <row r="79" spans="2:24" ht="20.100000000000001" customHeight="1" x14ac:dyDescent="0.25">
      <c r="B79" s="531"/>
      <c r="C79" s="1652"/>
      <c r="D79" s="1674"/>
      <c r="E79" s="1343"/>
      <c r="F79" s="1343"/>
      <c r="G79" s="1343"/>
      <c r="H79" s="1343"/>
      <c r="I79" s="1343"/>
      <c r="J79" s="633"/>
      <c r="K79" s="634" t="s">
        <v>589</v>
      </c>
      <c r="L79" s="635"/>
      <c r="M79" s="633"/>
      <c r="N79" s="636" t="s">
        <v>567</v>
      </c>
      <c r="O79" s="637"/>
      <c r="P79" s="633"/>
      <c r="Q79" s="638" t="s">
        <v>620</v>
      </c>
      <c r="R79" s="1675"/>
      <c r="S79" s="1676"/>
      <c r="T79" s="1686"/>
      <c r="U79" s="533"/>
      <c r="W79" s="204"/>
      <c r="X79" s="501"/>
    </row>
    <row r="80" spans="2:24" ht="20.100000000000001" customHeight="1" x14ac:dyDescent="0.25">
      <c r="B80" s="531"/>
      <c r="C80" s="1651"/>
      <c r="D80" s="591"/>
      <c r="E80" s="592"/>
      <c r="F80" s="592"/>
      <c r="G80" s="592"/>
      <c r="H80" s="592"/>
      <c r="I80" s="592"/>
      <c r="J80" s="641"/>
      <c r="K80" s="606" t="s">
        <v>588</v>
      </c>
      <c r="L80" s="562"/>
      <c r="N80" s="598" t="s">
        <v>568</v>
      </c>
      <c r="O80" s="593"/>
      <c r="Q80" s="606" t="s">
        <v>620</v>
      </c>
      <c r="R80" s="1639"/>
      <c r="S80" s="1640"/>
      <c r="T80" s="1687"/>
      <c r="U80" s="533"/>
      <c r="W80" s="204"/>
      <c r="X80" s="501"/>
    </row>
    <row r="81" spans="1:24" ht="20.100000000000001" customHeight="1" x14ac:dyDescent="0.25">
      <c r="B81" s="531"/>
      <c r="C81" s="1594">
        <v>7</v>
      </c>
      <c r="D81" s="1662" t="s">
        <v>610</v>
      </c>
      <c r="E81" s="1646"/>
      <c r="F81" s="1646"/>
      <c r="G81" s="1646"/>
      <c r="H81" s="1646"/>
      <c r="I81" s="1646"/>
      <c r="J81" s="588"/>
      <c r="K81" s="625" t="s">
        <v>558</v>
      </c>
      <c r="L81" s="588"/>
      <c r="M81" s="588"/>
      <c r="N81" s="625" t="s">
        <v>569</v>
      </c>
      <c r="O81" s="626"/>
      <c r="P81" s="627"/>
      <c r="Q81" s="624" t="s">
        <v>590</v>
      </c>
      <c r="R81" s="627"/>
      <c r="S81" s="630"/>
      <c r="T81" s="1685"/>
      <c r="U81" s="533"/>
      <c r="W81" s="204"/>
      <c r="X81" s="501"/>
    </row>
    <row r="82" spans="1:24" ht="20.100000000000001" customHeight="1" x14ac:dyDescent="0.25">
      <c r="B82" s="531"/>
      <c r="C82" s="1651"/>
      <c r="D82" s="1648"/>
      <c r="E82" s="1649"/>
      <c r="F82" s="1649"/>
      <c r="G82" s="1649"/>
      <c r="H82" s="1649"/>
      <c r="I82" s="1649"/>
      <c r="J82" s="562"/>
      <c r="K82" s="598" t="s">
        <v>559</v>
      </c>
      <c r="L82" s="562"/>
      <c r="M82" s="562"/>
      <c r="N82" s="598" t="s">
        <v>570</v>
      </c>
      <c r="O82" s="593"/>
      <c r="P82" s="605"/>
      <c r="Q82" s="619" t="s">
        <v>620</v>
      </c>
      <c r="R82" s="1663"/>
      <c r="S82" s="1664"/>
      <c r="T82" s="1687"/>
      <c r="U82" s="533"/>
      <c r="W82" s="204"/>
      <c r="X82" s="501"/>
    </row>
    <row r="83" spans="1:24" ht="19.5" customHeight="1" x14ac:dyDescent="0.25">
      <c r="B83" s="531"/>
      <c r="C83" s="1594">
        <v>8</v>
      </c>
      <c r="D83" s="1645" t="s">
        <v>545</v>
      </c>
      <c r="E83" s="1646"/>
      <c r="F83" s="1646"/>
      <c r="G83" s="1646"/>
      <c r="H83" s="1646"/>
      <c r="I83" s="590"/>
      <c r="J83" s="588"/>
      <c r="K83" s="628" t="s">
        <v>611</v>
      </c>
      <c r="L83" s="588"/>
      <c r="M83" s="588"/>
      <c r="N83" s="628"/>
      <c r="O83" s="629"/>
      <c r="P83" s="629"/>
      <c r="Q83" s="628" t="s">
        <v>633</v>
      </c>
      <c r="R83" s="627"/>
      <c r="S83" s="630"/>
      <c r="T83" s="1685"/>
      <c r="U83" s="533"/>
      <c r="W83" s="204"/>
      <c r="X83" s="501"/>
    </row>
    <row r="84" spans="1:24" ht="20.100000000000001" customHeight="1" x14ac:dyDescent="0.25">
      <c r="B84" s="531"/>
      <c r="C84" s="1651"/>
      <c r="D84" s="1648"/>
      <c r="E84" s="1649"/>
      <c r="F84" s="1649"/>
      <c r="G84" s="1649"/>
      <c r="H84" s="1649"/>
      <c r="I84" s="592"/>
      <c r="J84" s="562"/>
      <c r="K84" s="598" t="s">
        <v>571</v>
      </c>
      <c r="L84" s="593"/>
      <c r="M84" s="562"/>
      <c r="N84" s="619" t="s">
        <v>620</v>
      </c>
      <c r="O84" s="1639"/>
      <c r="P84" s="1639"/>
      <c r="Q84" s="1639"/>
      <c r="R84" s="1639"/>
      <c r="S84" s="1640"/>
      <c r="T84" s="1687"/>
      <c r="U84" s="533"/>
      <c r="W84" s="204"/>
      <c r="X84" s="501"/>
    </row>
    <row r="85" spans="1:24" ht="20.100000000000001" customHeight="1" x14ac:dyDescent="0.25">
      <c r="B85" s="531"/>
      <c r="C85" s="555">
        <v>9</v>
      </c>
      <c r="D85" s="1615" t="s">
        <v>546</v>
      </c>
      <c r="E85" s="1615"/>
      <c r="F85" s="1615"/>
      <c r="G85" s="1615"/>
      <c r="H85" s="1615"/>
      <c r="I85" s="1616"/>
      <c r="J85" s="430"/>
      <c r="K85" s="579" t="s">
        <v>560</v>
      </c>
      <c r="L85" s="573"/>
      <c r="M85" s="573"/>
      <c r="N85" s="575" t="s">
        <v>591</v>
      </c>
      <c r="O85" s="573"/>
      <c r="P85" s="430"/>
      <c r="Q85" s="575" t="s">
        <v>620</v>
      </c>
      <c r="R85" s="1665"/>
      <c r="S85" s="1666"/>
      <c r="T85" s="1003"/>
      <c r="U85" s="533"/>
      <c r="W85" s="204"/>
      <c r="X85" s="501"/>
    </row>
    <row r="86" spans="1:24" ht="20.100000000000001" customHeight="1" x14ac:dyDescent="0.25">
      <c r="B86" s="531"/>
      <c r="C86" s="555">
        <v>10</v>
      </c>
      <c r="D86" s="1615" t="s">
        <v>547</v>
      </c>
      <c r="E86" s="1615"/>
      <c r="F86" s="1615"/>
      <c r="G86" s="1615"/>
      <c r="H86" s="1615"/>
      <c r="I86" s="1616"/>
      <c r="J86" s="430"/>
      <c r="K86" s="579" t="s">
        <v>561</v>
      </c>
      <c r="L86" s="573"/>
      <c r="M86" s="573"/>
      <c r="N86" s="609" t="s">
        <v>612</v>
      </c>
      <c r="O86" s="573"/>
      <c r="P86" s="430"/>
      <c r="Q86" s="575" t="s">
        <v>621</v>
      </c>
      <c r="R86" s="1641"/>
      <c r="S86" s="1642"/>
      <c r="T86" s="1003"/>
      <c r="U86" s="533"/>
      <c r="W86" s="204"/>
      <c r="X86" s="501"/>
    </row>
    <row r="87" spans="1:24" ht="20.100000000000001" customHeight="1" x14ac:dyDescent="0.25">
      <c r="B87" s="531"/>
      <c r="C87" s="580">
        <v>11</v>
      </c>
      <c r="D87" s="1705" t="s">
        <v>548</v>
      </c>
      <c r="E87" s="1705"/>
      <c r="F87" s="1705"/>
      <c r="G87" s="1705"/>
      <c r="H87" s="1705"/>
      <c r="I87" s="1645"/>
      <c r="J87" s="372"/>
      <c r="K87" s="608" t="s">
        <v>562</v>
      </c>
      <c r="L87" s="595"/>
      <c r="M87" s="372"/>
      <c r="N87" s="608" t="s">
        <v>572</v>
      </c>
      <c r="O87" s="596" t="s">
        <v>286</v>
      </c>
      <c r="Q87" s="581" t="s">
        <v>592</v>
      </c>
      <c r="R87" s="597"/>
      <c r="S87" s="594"/>
      <c r="T87" s="1010"/>
      <c r="U87" s="533"/>
      <c r="W87" s="204"/>
      <c r="X87" s="501"/>
    </row>
    <row r="88" spans="1:24" ht="20.100000000000001" customHeight="1" x14ac:dyDescent="0.25">
      <c r="B88" s="531"/>
      <c r="C88" s="1637">
        <v>12</v>
      </c>
      <c r="D88" s="1615" t="s">
        <v>549</v>
      </c>
      <c r="E88" s="1615"/>
      <c r="F88" s="1615"/>
      <c r="G88" s="1615"/>
      <c r="H88" s="1616"/>
      <c r="I88" s="615"/>
      <c r="J88" s="639"/>
      <c r="K88" s="625" t="s">
        <v>563</v>
      </c>
      <c r="L88" s="588"/>
      <c r="M88" s="629"/>
      <c r="N88" s="625" t="s">
        <v>573</v>
      </c>
      <c r="O88" s="626"/>
      <c r="P88" s="629"/>
      <c r="Q88" s="624" t="s">
        <v>622</v>
      </c>
      <c r="R88" s="627"/>
      <c r="S88" s="630"/>
      <c r="T88" s="1688"/>
      <c r="U88" s="533"/>
      <c r="W88" s="204"/>
      <c r="X88" s="501"/>
    </row>
    <row r="89" spans="1:24" ht="20.100000000000001" customHeight="1" x14ac:dyDescent="0.25">
      <c r="B89" s="531"/>
      <c r="C89" s="1637"/>
      <c r="D89" s="1615"/>
      <c r="E89" s="1615"/>
      <c r="F89" s="1615"/>
      <c r="G89" s="1615"/>
      <c r="H89" s="1616"/>
      <c r="I89" s="592"/>
      <c r="J89" s="309"/>
      <c r="K89" s="598" t="s">
        <v>564</v>
      </c>
      <c r="L89" s="562"/>
      <c r="M89" s="309"/>
      <c r="N89" s="598" t="s">
        <v>574</v>
      </c>
      <c r="O89" s="593"/>
      <c r="P89" s="309"/>
      <c r="Q89" s="606" t="s">
        <v>620</v>
      </c>
      <c r="R89" s="1639"/>
      <c r="S89" s="1640"/>
      <c r="T89" s="1688"/>
      <c r="U89" s="533"/>
      <c r="W89" s="204"/>
      <c r="X89" s="501"/>
    </row>
    <row r="90" spans="1:24" ht="20.100000000000001" customHeight="1" x14ac:dyDescent="0.25">
      <c r="B90" s="531"/>
      <c r="C90" s="556">
        <v>13</v>
      </c>
      <c r="D90" s="1617" t="s">
        <v>550</v>
      </c>
      <c r="E90" s="1617"/>
      <c r="F90" s="1617"/>
      <c r="G90" s="1617"/>
      <c r="H90" s="1638"/>
      <c r="I90" s="601"/>
      <c r="J90" s="604"/>
      <c r="K90" s="546" t="s">
        <v>613</v>
      </c>
      <c r="L90" s="578"/>
      <c r="M90" s="434"/>
      <c r="N90" s="587" t="s">
        <v>565</v>
      </c>
      <c r="O90" s="602"/>
      <c r="P90" s="434"/>
      <c r="Q90" s="587" t="s">
        <v>575</v>
      </c>
      <c r="R90" s="603"/>
      <c r="S90" s="439"/>
      <c r="T90" s="1006"/>
      <c r="U90" s="533"/>
      <c r="W90" s="204"/>
      <c r="X90" s="501"/>
    </row>
    <row r="91" spans="1:24" ht="20.100000000000001" customHeight="1" thickBot="1" x14ac:dyDescent="0.3">
      <c r="B91" s="542"/>
      <c r="C91" s="543"/>
      <c r="D91" s="544"/>
      <c r="E91" s="544"/>
      <c r="F91" s="544"/>
      <c r="G91" s="544"/>
      <c r="H91" s="544"/>
      <c r="I91" s="544"/>
      <c r="J91" s="544"/>
      <c r="K91" s="544"/>
      <c r="L91" s="544"/>
      <c r="M91" s="544"/>
      <c r="N91" s="544"/>
      <c r="O91" s="544"/>
      <c r="P91" s="544"/>
      <c r="Q91" s="544"/>
      <c r="R91" s="544"/>
      <c r="S91" s="544"/>
      <c r="T91" s="544"/>
      <c r="U91" s="545"/>
      <c r="W91" s="204"/>
      <c r="X91" s="501"/>
    </row>
    <row r="92" spans="1:24" ht="9.9499999999999993" customHeight="1" x14ac:dyDescent="0.25">
      <c r="W92" s="204"/>
      <c r="X92" s="501"/>
    </row>
    <row r="93" spans="1:24" ht="5.0999999999999996" customHeight="1" x14ac:dyDescent="0.25">
      <c r="A93" s="204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501"/>
    </row>
    <row r="94" spans="1:24" ht="45" customHeight="1" x14ac:dyDescent="0.25">
      <c r="A94" s="501"/>
      <c r="B94" s="501"/>
      <c r="C94" s="501"/>
      <c r="D94" s="501"/>
      <c r="E94" s="501"/>
      <c r="F94" s="1014" t="s">
        <v>713</v>
      </c>
      <c r="G94" s="1014"/>
      <c r="H94" s="1014"/>
      <c r="I94" s="1014"/>
      <c r="J94" s="1014"/>
      <c r="K94" s="1014"/>
      <c r="L94" s="1014"/>
      <c r="M94" s="1014"/>
      <c r="N94" s="1014"/>
      <c r="O94" s="1014"/>
      <c r="P94" s="1014"/>
      <c r="Q94" s="1014"/>
      <c r="R94" s="1014"/>
      <c r="S94" s="501"/>
      <c r="T94" s="501"/>
      <c r="U94" s="501"/>
      <c r="V94" s="501"/>
      <c r="W94" s="501"/>
      <c r="X94" s="501"/>
    </row>
    <row r="95" spans="1:24" ht="26.25" customHeight="1" x14ac:dyDescent="0.25">
      <c r="A95" s="502"/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</row>
  </sheetData>
  <sheetProtection algorithmName="SHA-512" hashValue="NuRNDei7esFlcunj7p35CBq+dmS3Sj7UYbb9Nl4Y3leNf0qacvkLAND3L4lRN6ZjOuFCzgRNAJP6KsDBQfCBSQ==" saltValue="vAjI7/m2FP/5/OKDK4bbJQ==" spinCount="100000" sheet="1" objects="1" scenarios="1"/>
  <mergeCells count="140">
    <mergeCell ref="F94:R94"/>
    <mergeCell ref="B15:U15"/>
    <mergeCell ref="P44:S44"/>
    <mergeCell ref="K65:N65"/>
    <mergeCell ref="P45:S45"/>
    <mergeCell ref="N49:O49"/>
    <mergeCell ref="N50:O50"/>
    <mergeCell ref="P49:S49"/>
    <mergeCell ref="P50:S50"/>
    <mergeCell ref="P54:S54"/>
    <mergeCell ref="N59:O59"/>
    <mergeCell ref="N60:O60"/>
    <mergeCell ref="M61:O61"/>
    <mergeCell ref="D49:I49"/>
    <mergeCell ref="D50:I50"/>
    <mergeCell ref="D45:I45"/>
    <mergeCell ref="D55:I55"/>
    <mergeCell ref="D60:I60"/>
    <mergeCell ref="D58:I58"/>
    <mergeCell ref="N58:P58"/>
    <mergeCell ref="Q58:S58"/>
    <mergeCell ref="P61:S61"/>
    <mergeCell ref="D20:I20"/>
    <mergeCell ref="D21:I21"/>
    <mergeCell ref="C23:C24"/>
    <mergeCell ref="J23:J24"/>
    <mergeCell ref="D61:I61"/>
    <mergeCell ref="D65:I65"/>
    <mergeCell ref="D56:I56"/>
    <mergeCell ref="D57:I57"/>
    <mergeCell ref="N57:P57"/>
    <mergeCell ref="Q57:S57"/>
    <mergeCell ref="D54:I54"/>
    <mergeCell ref="P59:S59"/>
    <mergeCell ref="P60:S60"/>
    <mergeCell ref="D59:I59"/>
    <mergeCell ref="D38:I38"/>
    <mergeCell ref="N44:O44"/>
    <mergeCell ref="D44:I44"/>
    <mergeCell ref="N21:O21"/>
    <mergeCell ref="N22:O22"/>
    <mergeCell ref="N24:O24"/>
    <mergeCell ref="P20:S20"/>
    <mergeCell ref="P21:S21"/>
    <mergeCell ref="P22:S22"/>
    <mergeCell ref="P23:S23"/>
    <mergeCell ref="P24:S24"/>
    <mergeCell ref="P31:S31"/>
    <mergeCell ref="T78:T80"/>
    <mergeCell ref="T81:T82"/>
    <mergeCell ref="T83:T84"/>
    <mergeCell ref="T88:T89"/>
    <mergeCell ref="T70:T74"/>
    <mergeCell ref="T66:T67"/>
    <mergeCell ref="Q72:S72"/>
    <mergeCell ref="D69:I69"/>
    <mergeCell ref="Q69:S69"/>
    <mergeCell ref="Q70:S70"/>
    <mergeCell ref="J71:P71"/>
    <mergeCell ref="J66:J67"/>
    <mergeCell ref="Q73:S73"/>
    <mergeCell ref="Q74:S74"/>
    <mergeCell ref="D66:I66"/>
    <mergeCell ref="D67:I67"/>
    <mergeCell ref="Q71:S71"/>
    <mergeCell ref="D71:I73"/>
    <mergeCell ref="D88:H89"/>
    <mergeCell ref="J74:P74"/>
    <mergeCell ref="D87:I87"/>
    <mergeCell ref="D86:I86"/>
    <mergeCell ref="R77:S77"/>
    <mergeCell ref="C81:C82"/>
    <mergeCell ref="D81:I82"/>
    <mergeCell ref="C83:C84"/>
    <mergeCell ref="D83:H84"/>
    <mergeCell ref="O84:S84"/>
    <mergeCell ref="R82:S82"/>
    <mergeCell ref="R85:S85"/>
    <mergeCell ref="L69:M69"/>
    <mergeCell ref="O69:P69"/>
    <mergeCell ref="J72:P72"/>
    <mergeCell ref="J73:P73"/>
    <mergeCell ref="J70:P70"/>
    <mergeCell ref="D78:I79"/>
    <mergeCell ref="R79:S79"/>
    <mergeCell ref="R80:S80"/>
    <mergeCell ref="D85:I85"/>
    <mergeCell ref="D75:I75"/>
    <mergeCell ref="Q75:S75"/>
    <mergeCell ref="L75:M75"/>
    <mergeCell ref="O75:P75"/>
    <mergeCell ref="C77:C80"/>
    <mergeCell ref="C88:C89"/>
    <mergeCell ref="D90:H90"/>
    <mergeCell ref="R89:S89"/>
    <mergeCell ref="R86:S86"/>
    <mergeCell ref="D22:I22"/>
    <mergeCell ref="Q26:S26"/>
    <mergeCell ref="D23:I24"/>
    <mergeCell ref="C59:C60"/>
    <mergeCell ref="C55:C56"/>
    <mergeCell ref="C70:C74"/>
    <mergeCell ref="D35:I35"/>
    <mergeCell ref="D36:I36"/>
    <mergeCell ref="N30:P30"/>
    <mergeCell ref="Q30:S30"/>
    <mergeCell ref="D30:I30"/>
    <mergeCell ref="D31:I31"/>
    <mergeCell ref="D42:I42"/>
    <mergeCell ref="N42:P42"/>
    <mergeCell ref="Q42:S42"/>
    <mergeCell ref="D43:I43"/>
    <mergeCell ref="N43:P43"/>
    <mergeCell ref="Q43:S43"/>
    <mergeCell ref="D37:I37"/>
    <mergeCell ref="N45:O45"/>
    <mergeCell ref="Y1:AA1"/>
    <mergeCell ref="C66:C67"/>
    <mergeCell ref="P25:S25"/>
    <mergeCell ref="A1:B1"/>
    <mergeCell ref="R1:T1"/>
    <mergeCell ref="N26:P26"/>
    <mergeCell ref="K55:S55"/>
    <mergeCell ref="K56:S56"/>
    <mergeCell ref="K67:S67"/>
    <mergeCell ref="K66:N66"/>
    <mergeCell ref="O66:S66"/>
    <mergeCell ref="D25:I25"/>
    <mergeCell ref="D26:I26"/>
    <mergeCell ref="M23:O23"/>
    <mergeCell ref="M31:O31"/>
    <mergeCell ref="N36:O36"/>
    <mergeCell ref="N37:O37"/>
    <mergeCell ref="N38:O38"/>
    <mergeCell ref="P36:S36"/>
    <mergeCell ref="P37:S37"/>
    <mergeCell ref="P38:S38"/>
    <mergeCell ref="N35:O35"/>
    <mergeCell ref="P35:S35"/>
    <mergeCell ref="N20:O20"/>
  </mergeCells>
  <conditionalFormatting sqref="A1:Q1">
    <cfRule type="expression" dxfId="15" priority="25">
      <formula>OR(VA_FEHLER_AB&gt;0,VA_FEHLER_C&gt;0)</formula>
    </cfRule>
  </conditionalFormatting>
  <conditionalFormatting sqref="D75:I75">
    <cfRule type="expression" dxfId="14" priority="3">
      <formula>OR($K$75&gt;$K$69,$N$75&gt;$N$69)</formula>
    </cfRule>
  </conditionalFormatting>
  <conditionalFormatting sqref="K69 K75">
    <cfRule type="expression" dxfId="13" priority="5">
      <formula>$K$75&gt;$K$69</formula>
    </cfRule>
  </conditionalFormatting>
  <conditionalFormatting sqref="N69 N75">
    <cfRule type="expression" dxfId="12" priority="4">
      <formula>$N$75&gt;$N$69</formula>
    </cfRule>
  </conditionalFormatting>
  <conditionalFormatting sqref="P61:S61">
    <cfRule type="expression" dxfId="11" priority="7">
      <formula>$P$61="Datum hier einfügen"</formula>
    </cfRule>
  </conditionalFormatting>
  <conditionalFormatting sqref="Y1">
    <cfRule type="expression" dxfId="9" priority="1">
      <formula>V_ARBEIT=0</formula>
    </cfRule>
  </conditionalFormatting>
  <dataValidations count="8">
    <dataValidation type="textLength" operator="lessThanOrEqual" allowBlank="1" showInputMessage="1" showErrorMessage="1" errorTitle="Eingabefehler" error="Es sind maximal 25 Zeichen (inkl. Leerzeichen) erlaubt." sqref="Q74:S74" xr:uid="{1E66F8A8-D020-440A-B573-11A0FD7B3B26}">
      <formula1>25</formula1>
    </dataValidation>
    <dataValidation type="whole" operator="greaterThanOrEqual" allowBlank="1" showInputMessage="1" showErrorMessage="1" errorTitle="Eingabefehler" error="Nur ganze, positive Zahlen sowie 0 erlaubt." sqref="R86:S86 R77:S77" xr:uid="{E4D0BA79-0785-4FEC-BB8F-9768D4A3FBDA}">
      <formula1>0</formula1>
    </dataValidation>
    <dataValidation type="textLength" operator="lessThanOrEqual" allowBlank="1" showInputMessage="1" showErrorMessage="1" errorTitle="Eingabefehler" error="Es sind maximal 20 Zeichen (inkl. Leerzeichen) erlaubt." sqref="R79:S80 R82:S82 R85:S85 R89:S89" xr:uid="{531E7F3F-A07F-4CCA-8C05-452ECD25E968}">
      <formula1>20</formula1>
    </dataValidation>
    <dataValidation type="textLength" operator="lessThanOrEqual" allowBlank="1" showInputMessage="1" showErrorMessage="1" errorTitle="Eingabefehler" error="Es sind maximal 50 Zeichen (inkl. Leerzeichen) erlaubt." sqref="O66:S66 O84:S84" xr:uid="{4B9C5BF2-7084-4602-9386-C9D99729DBB6}">
      <formula1>50</formula1>
    </dataValidation>
    <dataValidation type="textLength" operator="lessThanOrEqual" allowBlank="1" showInputMessage="1" showErrorMessage="1" errorTitle="Eingabefehler" error="Es sind maximal 95 Zeichen (inkl. Leerzeichen) erlaubt." sqref="K67:S67" xr:uid="{A06CAB72-ED4C-4693-AAF2-82903BA79503}">
      <formula1>95</formula1>
    </dataValidation>
    <dataValidation type="textLength" operator="lessThanOrEqual" allowBlank="1" showInputMessage="1" showErrorMessage="1" errorTitle="Eingabefehler" error="Es sind maximal 40 Zeichen (inkl. Leerzeichen) erlaubt." sqref="P20:S25 P31:S31 P36:S38 P44:S45 P50:S50 P59:S61" xr:uid="{419A62D3-59EC-4402-895E-4787FC358398}">
      <formula1>40</formula1>
    </dataValidation>
    <dataValidation type="whole" allowBlank="1" showInputMessage="1" showErrorMessage="1" errorTitle="Eingabefehler" error="Anzahl darf nicht höher sein als G3 &quot;offen&quot;." sqref="K75" xr:uid="{B3AD6679-6A19-4FEF-B626-C1B99CD3CF71}">
      <formula1>0</formula1>
      <formula2>K69</formula2>
    </dataValidation>
    <dataValidation type="whole" allowBlank="1" showInputMessage="1" showErrorMessage="1" errorTitle="Eingabefehler" error="Anzahl darf nicht höher sein als G3 &quot;gesichert&quot;." sqref="N75" xr:uid="{65A1F2D3-2F96-4709-AD46-0234C520974D}">
      <formula1>0</formula1>
      <formula2>N69</formula2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orientation="portrait" errors="blank" horizontalDpi="1200" verticalDpi="1200" r:id="rId1"/>
  <headerFooter scaleWithDoc="0">
    <oddHeader>&amp;L&amp;13Projektbeschreibung / Checkliste&amp;R&amp;G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colBreaks count="1" manualBreakCount="1">
    <brk id="2" max="1048575" man="1"/>
  </col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32" r:id="rId5" name="Check Box 64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21</xdr:row>
                    <xdr:rowOff>0</xdr:rowOff>
                  </from>
                  <to>
                    <xdr:col>9</xdr:col>
                    <xdr:colOff>619125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6" name="Check Box 65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21</xdr:row>
                    <xdr:rowOff>247650</xdr:rowOff>
                  </from>
                  <to>
                    <xdr:col>9</xdr:col>
                    <xdr:colOff>619125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7" name="Check Box 66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25</xdr:row>
                    <xdr:rowOff>0</xdr:rowOff>
                  </from>
                  <to>
                    <xdr:col>9</xdr:col>
                    <xdr:colOff>619125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8" name="Check Box 67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30</xdr:row>
                    <xdr:rowOff>0</xdr:rowOff>
                  </from>
                  <to>
                    <xdr:col>9</xdr:col>
                    <xdr:colOff>619125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9" name="Check Box 68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37</xdr:row>
                    <xdr:rowOff>0</xdr:rowOff>
                  </from>
                  <to>
                    <xdr:col>9</xdr:col>
                    <xdr:colOff>619125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0" name="Check Box 69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49</xdr:row>
                    <xdr:rowOff>0</xdr:rowOff>
                  </from>
                  <to>
                    <xdr:col>9</xdr:col>
                    <xdr:colOff>619125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1" name="Check Box 70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53</xdr:row>
                    <xdr:rowOff>0</xdr:rowOff>
                  </from>
                  <to>
                    <xdr:col>9</xdr:col>
                    <xdr:colOff>619125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2" name="Check Box 71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54</xdr:row>
                    <xdr:rowOff>0</xdr:rowOff>
                  </from>
                  <to>
                    <xdr:col>9</xdr:col>
                    <xdr:colOff>619125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13" name="Check Box 72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55</xdr:row>
                    <xdr:rowOff>0</xdr:rowOff>
                  </from>
                  <to>
                    <xdr:col>9</xdr:col>
                    <xdr:colOff>619125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14" name="Check Box 73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56</xdr:row>
                    <xdr:rowOff>0</xdr:rowOff>
                  </from>
                  <to>
                    <xdr:col>9</xdr:col>
                    <xdr:colOff>619125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15" name="Check Box 74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57</xdr:row>
                    <xdr:rowOff>0</xdr:rowOff>
                  </from>
                  <to>
                    <xdr:col>9</xdr:col>
                    <xdr:colOff>619125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16" name="Check Box 75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58</xdr:row>
                    <xdr:rowOff>0</xdr:rowOff>
                  </from>
                  <to>
                    <xdr:col>9</xdr:col>
                    <xdr:colOff>619125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17" name="Check Box 76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59</xdr:row>
                    <xdr:rowOff>0</xdr:rowOff>
                  </from>
                  <to>
                    <xdr:col>9</xdr:col>
                    <xdr:colOff>619125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18" name="Check Box 77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60</xdr:row>
                    <xdr:rowOff>0</xdr:rowOff>
                  </from>
                  <to>
                    <xdr:col>9</xdr:col>
                    <xdr:colOff>619125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19" name="Check Box 78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19</xdr:row>
                    <xdr:rowOff>0</xdr:rowOff>
                  </from>
                  <to>
                    <xdr:col>10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0" name="Check Box 79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19</xdr:row>
                    <xdr:rowOff>0</xdr:rowOff>
                  </from>
                  <to>
                    <xdr:col>11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21" name="Check Box 80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19</xdr:row>
                    <xdr:rowOff>0</xdr:rowOff>
                  </from>
                  <to>
                    <xdr:col>12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22" name="Check Box 81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20</xdr:row>
                    <xdr:rowOff>0</xdr:rowOff>
                  </from>
                  <to>
                    <xdr:col>12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23" name="Check Box 82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20</xdr:row>
                    <xdr:rowOff>0</xdr:rowOff>
                  </from>
                  <to>
                    <xdr:col>11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24" name="Check Box 83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20</xdr:row>
                    <xdr:rowOff>0</xdr:rowOff>
                  </from>
                  <to>
                    <xdr:col>10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25" name="Check Box 84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29</xdr:row>
                    <xdr:rowOff>0</xdr:rowOff>
                  </from>
                  <to>
                    <xdr:col>10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26" name="Check Box 85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29</xdr:row>
                    <xdr:rowOff>0</xdr:rowOff>
                  </from>
                  <to>
                    <xdr:col>11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27" name="Check Box 86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29</xdr:row>
                    <xdr:rowOff>0</xdr:rowOff>
                  </from>
                  <to>
                    <xdr:col>12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28" name="Check Box 87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35</xdr:row>
                    <xdr:rowOff>0</xdr:rowOff>
                  </from>
                  <to>
                    <xdr:col>10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29" name="Check Box 88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36</xdr:row>
                    <xdr:rowOff>0</xdr:rowOff>
                  </from>
                  <to>
                    <xdr:col>10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30" name="Check Box 89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35</xdr:row>
                    <xdr:rowOff>0</xdr:rowOff>
                  </from>
                  <to>
                    <xdr:col>11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31" name="Check Box 90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36</xdr:row>
                    <xdr:rowOff>0</xdr:rowOff>
                  </from>
                  <to>
                    <xdr:col>11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32" name="Check Box 91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35</xdr:row>
                    <xdr:rowOff>0</xdr:rowOff>
                  </from>
                  <to>
                    <xdr:col>12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33" name="Check Box 92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36</xdr:row>
                    <xdr:rowOff>0</xdr:rowOff>
                  </from>
                  <to>
                    <xdr:col>12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34" name="Check Box 93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41</xdr:row>
                    <xdr:rowOff>0</xdr:rowOff>
                  </from>
                  <to>
                    <xdr:col>10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35" name="Check Box 94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42</xdr:row>
                    <xdr:rowOff>0</xdr:rowOff>
                  </from>
                  <to>
                    <xdr:col>10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36" name="Check Box 95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43</xdr:row>
                    <xdr:rowOff>0</xdr:rowOff>
                  </from>
                  <to>
                    <xdr:col>10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37" name="Check Box 96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38" name="Check Box 97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41</xdr:row>
                    <xdr:rowOff>0</xdr:rowOff>
                  </from>
                  <to>
                    <xdr:col>11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39" name="Check Box 98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42</xdr:row>
                    <xdr:rowOff>0</xdr:rowOff>
                  </from>
                  <to>
                    <xdr:col>11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40" name="Check Box 99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43</xdr:row>
                    <xdr:rowOff>0</xdr:rowOff>
                  </from>
                  <to>
                    <xdr:col>11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41" name="Check Box 100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44</xdr:row>
                    <xdr:rowOff>0</xdr:rowOff>
                  </from>
                  <to>
                    <xdr:col>11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42" name="Check Box 101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41</xdr:row>
                    <xdr:rowOff>0</xdr:rowOff>
                  </from>
                  <to>
                    <xdr:col>12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43" name="Check Box 102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42</xdr:row>
                    <xdr:rowOff>0</xdr:rowOff>
                  </from>
                  <to>
                    <xdr:col>12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44" name="Check Box 103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43</xdr:row>
                    <xdr:rowOff>0</xdr:rowOff>
                  </from>
                  <to>
                    <xdr:col>12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45" name="Check Box 104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44</xdr:row>
                    <xdr:rowOff>0</xdr:rowOff>
                  </from>
                  <to>
                    <xdr:col>12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46" name="Check Box 105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64</xdr:row>
                    <xdr:rowOff>0</xdr:rowOff>
                  </from>
                  <to>
                    <xdr:col>9</xdr:col>
                    <xdr:colOff>619125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47" name="Check Box 107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64</xdr:row>
                    <xdr:rowOff>247650</xdr:rowOff>
                  </from>
                  <to>
                    <xdr:col>9</xdr:col>
                    <xdr:colOff>619125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48" name="Check Box 108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77</xdr:row>
                    <xdr:rowOff>0</xdr:rowOff>
                  </from>
                  <to>
                    <xdr:col>11</xdr:col>
                    <xdr:colOff>619125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49" name="Check Box 109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78</xdr:row>
                    <xdr:rowOff>0</xdr:rowOff>
                  </from>
                  <to>
                    <xdr:col>11</xdr:col>
                    <xdr:colOff>619125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50" name="Check Box 110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79</xdr:row>
                    <xdr:rowOff>0</xdr:rowOff>
                  </from>
                  <to>
                    <xdr:col>11</xdr:col>
                    <xdr:colOff>619125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51" name="Check Box 111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77</xdr:row>
                    <xdr:rowOff>0</xdr:rowOff>
                  </from>
                  <to>
                    <xdr:col>14</xdr:col>
                    <xdr:colOff>619125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52" name="Check Box 112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78</xdr:row>
                    <xdr:rowOff>0</xdr:rowOff>
                  </from>
                  <to>
                    <xdr:col>14</xdr:col>
                    <xdr:colOff>619125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53" name="Check Box 113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79</xdr:row>
                    <xdr:rowOff>0</xdr:rowOff>
                  </from>
                  <to>
                    <xdr:col>14</xdr:col>
                    <xdr:colOff>619125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54" name="Check Box 114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77</xdr:row>
                    <xdr:rowOff>0</xdr:rowOff>
                  </from>
                  <to>
                    <xdr:col>17</xdr:col>
                    <xdr:colOff>619125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55" name="Check Box 115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80</xdr:row>
                    <xdr:rowOff>0</xdr:rowOff>
                  </from>
                  <to>
                    <xdr:col>11</xdr:col>
                    <xdr:colOff>619125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56" name="Check Box 116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81</xdr:row>
                    <xdr:rowOff>0</xdr:rowOff>
                  </from>
                  <to>
                    <xdr:col>11</xdr:col>
                    <xdr:colOff>619125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57" name="Check Box 117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80</xdr:row>
                    <xdr:rowOff>0</xdr:rowOff>
                  </from>
                  <to>
                    <xdr:col>14</xdr:col>
                    <xdr:colOff>619125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58" name="Check Box 118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81</xdr:row>
                    <xdr:rowOff>0</xdr:rowOff>
                  </from>
                  <to>
                    <xdr:col>14</xdr:col>
                    <xdr:colOff>619125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59" name="Check Box 119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80</xdr:row>
                    <xdr:rowOff>0</xdr:rowOff>
                  </from>
                  <to>
                    <xdr:col>17</xdr:col>
                    <xdr:colOff>619125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60" name="Check Box 120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82</xdr:row>
                    <xdr:rowOff>0</xdr:rowOff>
                  </from>
                  <to>
                    <xdr:col>11</xdr:col>
                    <xdr:colOff>619125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61" name="Check Box 12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83</xdr:row>
                    <xdr:rowOff>0</xdr:rowOff>
                  </from>
                  <to>
                    <xdr:col>11</xdr:col>
                    <xdr:colOff>619125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62" name="Check Box 122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82</xdr:row>
                    <xdr:rowOff>0</xdr:rowOff>
                  </from>
                  <to>
                    <xdr:col>17</xdr:col>
                    <xdr:colOff>619125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63" name="Check Box 123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84</xdr:row>
                    <xdr:rowOff>0</xdr:rowOff>
                  </from>
                  <to>
                    <xdr:col>11</xdr:col>
                    <xdr:colOff>619125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64" name="Check Box 124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85</xdr:row>
                    <xdr:rowOff>0</xdr:rowOff>
                  </from>
                  <to>
                    <xdr:col>11</xdr:col>
                    <xdr:colOff>619125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65" name="Check Box 125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84</xdr:row>
                    <xdr:rowOff>0</xdr:rowOff>
                  </from>
                  <to>
                    <xdr:col>14</xdr:col>
                    <xdr:colOff>619125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66" name="Check Box 126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85</xdr:row>
                    <xdr:rowOff>0</xdr:rowOff>
                  </from>
                  <to>
                    <xdr:col>14</xdr:col>
                    <xdr:colOff>619125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67" name="Check Box 127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86</xdr:row>
                    <xdr:rowOff>0</xdr:rowOff>
                  </from>
                  <to>
                    <xdr:col>11</xdr:col>
                    <xdr:colOff>619125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68" name="Check Box 128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86</xdr:row>
                    <xdr:rowOff>0</xdr:rowOff>
                  </from>
                  <to>
                    <xdr:col>14</xdr:col>
                    <xdr:colOff>619125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69" name="Check Box 129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86</xdr:row>
                    <xdr:rowOff>0</xdr:rowOff>
                  </from>
                  <to>
                    <xdr:col>17</xdr:col>
                    <xdr:colOff>619125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70" name="Check Box 130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87</xdr:row>
                    <xdr:rowOff>0</xdr:rowOff>
                  </from>
                  <to>
                    <xdr:col>11</xdr:col>
                    <xdr:colOff>619125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71" name="Check Box 13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88</xdr:row>
                    <xdr:rowOff>0</xdr:rowOff>
                  </from>
                  <to>
                    <xdr:col>11</xdr:col>
                    <xdr:colOff>619125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72" name="Check Box 132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89</xdr:row>
                    <xdr:rowOff>0</xdr:rowOff>
                  </from>
                  <to>
                    <xdr:col>11</xdr:col>
                    <xdr:colOff>619125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73" name="Check Box 133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87</xdr:row>
                    <xdr:rowOff>0</xdr:rowOff>
                  </from>
                  <to>
                    <xdr:col>14</xdr:col>
                    <xdr:colOff>619125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74" name="Check Box 134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88</xdr:row>
                    <xdr:rowOff>0</xdr:rowOff>
                  </from>
                  <to>
                    <xdr:col>14</xdr:col>
                    <xdr:colOff>619125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75" name="Check Box 135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89</xdr:row>
                    <xdr:rowOff>0</xdr:rowOff>
                  </from>
                  <to>
                    <xdr:col>14</xdr:col>
                    <xdr:colOff>619125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76" name="Check Box 136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87</xdr:row>
                    <xdr:rowOff>0</xdr:rowOff>
                  </from>
                  <to>
                    <xdr:col>17</xdr:col>
                    <xdr:colOff>619125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77" name="Check Box 137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89</xdr:row>
                    <xdr:rowOff>0</xdr:rowOff>
                  </from>
                  <to>
                    <xdr:col>17</xdr:col>
                    <xdr:colOff>619125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78" name="Check Box 13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19</xdr:row>
                    <xdr:rowOff>0</xdr:rowOff>
                  </from>
                  <to>
                    <xdr:col>19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79" name="Check Box 13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20</xdr:row>
                    <xdr:rowOff>0</xdr:rowOff>
                  </from>
                  <to>
                    <xdr:col>19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80" name="Check Box 14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21</xdr:row>
                    <xdr:rowOff>0</xdr:rowOff>
                  </from>
                  <to>
                    <xdr:col>19</xdr:col>
                    <xdr:colOff>428625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81" name="Check Box 14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22</xdr:row>
                    <xdr:rowOff>0</xdr:rowOff>
                  </from>
                  <to>
                    <xdr:col>19</xdr:col>
                    <xdr:colOff>428625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82" name="Check Box 14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23</xdr:row>
                    <xdr:rowOff>0</xdr:rowOff>
                  </from>
                  <to>
                    <xdr:col>19</xdr:col>
                    <xdr:colOff>428625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83" name="Check Box 14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24</xdr:row>
                    <xdr:rowOff>0</xdr:rowOff>
                  </from>
                  <to>
                    <xdr:col>19</xdr:col>
                    <xdr:colOff>428625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84" name="Check Box 144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25</xdr:row>
                    <xdr:rowOff>0</xdr:rowOff>
                  </from>
                  <to>
                    <xdr:col>19</xdr:col>
                    <xdr:colOff>428625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85" name="Check Box 14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29</xdr:row>
                    <xdr:rowOff>0</xdr:rowOff>
                  </from>
                  <to>
                    <xdr:col>19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86" name="Check Box 14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30</xdr:row>
                    <xdr:rowOff>0</xdr:rowOff>
                  </from>
                  <to>
                    <xdr:col>19</xdr:col>
                    <xdr:colOff>428625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87" name="Check Box 14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34</xdr:row>
                    <xdr:rowOff>0</xdr:rowOff>
                  </from>
                  <to>
                    <xdr:col>19</xdr:col>
                    <xdr:colOff>428625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88" name="Check Box 14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35</xdr:row>
                    <xdr:rowOff>0</xdr:rowOff>
                  </from>
                  <to>
                    <xdr:col>19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89" name="Check Box 14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36</xdr:row>
                    <xdr:rowOff>0</xdr:rowOff>
                  </from>
                  <to>
                    <xdr:col>19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90" name="Check Box 15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37</xdr:row>
                    <xdr:rowOff>0</xdr:rowOff>
                  </from>
                  <to>
                    <xdr:col>19</xdr:col>
                    <xdr:colOff>428625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91" name="Check Box 15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41</xdr:row>
                    <xdr:rowOff>0</xdr:rowOff>
                  </from>
                  <to>
                    <xdr:col>19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92" name="Check Box 15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42</xdr:row>
                    <xdr:rowOff>0</xdr:rowOff>
                  </from>
                  <to>
                    <xdr:col>19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93" name="Check Box 15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43</xdr:row>
                    <xdr:rowOff>0</xdr:rowOff>
                  </from>
                  <to>
                    <xdr:col>19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94" name="Check Box 154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44</xdr:row>
                    <xdr:rowOff>0</xdr:rowOff>
                  </from>
                  <to>
                    <xdr:col>19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95" name="Check Box 15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48</xdr:row>
                    <xdr:rowOff>0</xdr:rowOff>
                  </from>
                  <to>
                    <xdr:col>19</xdr:col>
                    <xdr:colOff>428625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96" name="Check Box 15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49</xdr:row>
                    <xdr:rowOff>0</xdr:rowOff>
                  </from>
                  <to>
                    <xdr:col>19</xdr:col>
                    <xdr:colOff>428625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97" name="Check Box 15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53</xdr:row>
                    <xdr:rowOff>0</xdr:rowOff>
                  </from>
                  <to>
                    <xdr:col>19</xdr:col>
                    <xdr:colOff>428625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98" name="Check Box 15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54</xdr:row>
                    <xdr:rowOff>0</xdr:rowOff>
                  </from>
                  <to>
                    <xdr:col>19</xdr:col>
                    <xdr:colOff>428625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99" name="Check Box 15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55</xdr:row>
                    <xdr:rowOff>0</xdr:rowOff>
                  </from>
                  <to>
                    <xdr:col>19</xdr:col>
                    <xdr:colOff>428625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100" name="Check Box 16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56</xdr:row>
                    <xdr:rowOff>0</xdr:rowOff>
                  </from>
                  <to>
                    <xdr:col>19</xdr:col>
                    <xdr:colOff>428625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101" name="Check Box 16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57</xdr:row>
                    <xdr:rowOff>0</xdr:rowOff>
                  </from>
                  <to>
                    <xdr:col>19</xdr:col>
                    <xdr:colOff>428625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102" name="Check Box 16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58</xdr:row>
                    <xdr:rowOff>0</xdr:rowOff>
                  </from>
                  <to>
                    <xdr:col>19</xdr:col>
                    <xdr:colOff>428625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103" name="Check Box 16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59</xdr:row>
                    <xdr:rowOff>0</xdr:rowOff>
                  </from>
                  <to>
                    <xdr:col>19</xdr:col>
                    <xdr:colOff>428625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104" name="Check Box 16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60</xdr:row>
                    <xdr:rowOff>0</xdr:rowOff>
                  </from>
                  <to>
                    <xdr:col>19</xdr:col>
                    <xdr:colOff>428625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105" name="Check Box 16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64</xdr:row>
                    <xdr:rowOff>0</xdr:rowOff>
                  </from>
                  <to>
                    <xdr:col>19</xdr:col>
                    <xdr:colOff>428625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106" name="Check Box 16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64</xdr:row>
                    <xdr:rowOff>247650</xdr:rowOff>
                  </from>
                  <to>
                    <xdr:col>19</xdr:col>
                    <xdr:colOff>428625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107" name="Check Box 16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68</xdr:row>
                    <xdr:rowOff>0</xdr:rowOff>
                  </from>
                  <to>
                    <xdr:col>19</xdr:col>
                    <xdr:colOff>428625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108" name="Check Box 16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68</xdr:row>
                    <xdr:rowOff>247650</xdr:rowOff>
                  </from>
                  <to>
                    <xdr:col>19</xdr:col>
                    <xdr:colOff>428625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109" name="Check Box 17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74</xdr:row>
                    <xdr:rowOff>0</xdr:rowOff>
                  </from>
                  <to>
                    <xdr:col>19</xdr:col>
                    <xdr:colOff>428625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110" name="Check Box 17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76</xdr:row>
                    <xdr:rowOff>0</xdr:rowOff>
                  </from>
                  <to>
                    <xdr:col>19</xdr:col>
                    <xdr:colOff>428625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111" name="Check Box 17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76</xdr:row>
                    <xdr:rowOff>247650</xdr:rowOff>
                  </from>
                  <to>
                    <xdr:col>19</xdr:col>
                    <xdr:colOff>428625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112" name="Check Box 17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80</xdr:row>
                    <xdr:rowOff>0</xdr:rowOff>
                  </from>
                  <to>
                    <xdr:col>19</xdr:col>
                    <xdr:colOff>428625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113" name="Check Box 174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81</xdr:row>
                    <xdr:rowOff>247650</xdr:rowOff>
                  </from>
                  <to>
                    <xdr:col>19</xdr:col>
                    <xdr:colOff>428625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114" name="Check Box 17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84</xdr:row>
                    <xdr:rowOff>0</xdr:rowOff>
                  </from>
                  <to>
                    <xdr:col>19</xdr:col>
                    <xdr:colOff>428625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115" name="Check Box 17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85</xdr:row>
                    <xdr:rowOff>0</xdr:rowOff>
                  </from>
                  <to>
                    <xdr:col>19</xdr:col>
                    <xdr:colOff>428625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116" name="Check Box 17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86</xdr:row>
                    <xdr:rowOff>0</xdr:rowOff>
                  </from>
                  <to>
                    <xdr:col>19</xdr:col>
                    <xdr:colOff>428625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117" name="Check Box 17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87</xdr:row>
                    <xdr:rowOff>0</xdr:rowOff>
                  </from>
                  <to>
                    <xdr:col>19</xdr:col>
                    <xdr:colOff>428625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118" name="Check Box 17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89</xdr:row>
                    <xdr:rowOff>0</xdr:rowOff>
                  </from>
                  <to>
                    <xdr:col>19</xdr:col>
                    <xdr:colOff>428625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119" name="Check Box 180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64</xdr:row>
                    <xdr:rowOff>0</xdr:rowOff>
                  </from>
                  <to>
                    <xdr:col>14</xdr:col>
                    <xdr:colOff>619125</xdr:colOff>
                    <xdr:row>65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E7EECFC9-AD29-4308-81A6-50F92046D9A6}">
            <xm:f>intern!$I250=TRUE</xm:f>
            <x14:dxf>
              <fill>
                <patternFill>
                  <bgColor theme="7"/>
                </patternFill>
              </fill>
            </x14:dxf>
          </x14:cfRule>
          <xm:sqref>T20:T26 T30:T31 T35:T38 T42:T45 T49:T50 T54:T61 T65:T67 T69:T90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BB042-AF9A-42F0-8DAB-10FAFD324B35}">
  <sheetPr codeName="Sheet9">
    <tabColor theme="6" tint="0.59999389629810485"/>
    <pageSetUpPr autoPageBreaks="0" fitToPage="1"/>
  </sheetPr>
  <dimension ref="A1:AA118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07"/>
      <c r="C5" s="208"/>
      <c r="D5" s="208"/>
      <c r="E5" s="208"/>
      <c r="F5" s="208"/>
      <c r="G5" s="208"/>
      <c r="H5" s="208"/>
      <c r="I5" s="208"/>
      <c r="J5" s="717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80"/>
      <c r="W5" s="204"/>
    </row>
    <row r="6" spans="1:27" ht="18" customHeight="1" x14ac:dyDescent="0.25">
      <c r="B6" s="210"/>
      <c r="C6" s="202" t="s">
        <v>694</v>
      </c>
      <c r="D6" s="212"/>
      <c r="E6" s="212"/>
      <c r="F6" s="212"/>
      <c r="G6" s="212"/>
      <c r="H6" s="212"/>
      <c r="I6" s="212"/>
      <c r="J6" s="221"/>
      <c r="K6" s="226"/>
      <c r="L6" s="226"/>
      <c r="M6" s="663" t="s">
        <v>625</v>
      </c>
      <c r="N6" s="2027"/>
      <c r="O6" s="2028"/>
      <c r="P6" s="2028"/>
      <c r="Q6" s="2028"/>
      <c r="R6" s="2028"/>
      <c r="S6" s="2028"/>
      <c r="T6" s="2029"/>
      <c r="U6" s="414"/>
      <c r="W6" s="204"/>
    </row>
    <row r="7" spans="1:27" ht="6" customHeight="1" x14ac:dyDescent="0.25">
      <c r="B7" s="210"/>
      <c r="C7" s="202"/>
      <c r="D7" s="212"/>
      <c r="E7" s="212"/>
      <c r="F7" s="212"/>
      <c r="G7" s="212"/>
      <c r="H7" s="212"/>
      <c r="I7" s="212"/>
      <c r="J7" s="221"/>
      <c r="K7" s="226"/>
      <c r="L7" s="226"/>
      <c r="M7" s="663"/>
      <c r="N7" s="226"/>
      <c r="O7" s="226"/>
      <c r="P7" s="226"/>
      <c r="Q7" s="226"/>
      <c r="R7" s="226"/>
      <c r="S7" s="226"/>
      <c r="T7" s="226"/>
      <c r="U7" s="414"/>
      <c r="W7" s="204"/>
    </row>
    <row r="8" spans="1:27" ht="18" customHeight="1" x14ac:dyDescent="0.25">
      <c r="B8" s="210"/>
      <c r="C8" s="202" t="s">
        <v>695</v>
      </c>
      <c r="D8" s="212"/>
      <c r="E8" s="212"/>
      <c r="F8" s="212"/>
      <c r="G8" s="212"/>
      <c r="H8" s="212"/>
      <c r="I8" s="212"/>
      <c r="J8" s="221"/>
      <c r="K8" s="226"/>
      <c r="L8" s="226"/>
      <c r="M8" s="663" t="s">
        <v>626</v>
      </c>
      <c r="N8" s="2030"/>
      <c r="O8" s="2031"/>
      <c r="P8" s="2031"/>
      <c r="Q8" s="2031"/>
      <c r="R8" s="2031"/>
      <c r="S8" s="2031"/>
      <c r="T8" s="2032"/>
      <c r="U8" s="414"/>
      <c r="W8" s="204"/>
    </row>
    <row r="9" spans="1:27" ht="6" customHeight="1" x14ac:dyDescent="0.25">
      <c r="B9" s="210"/>
      <c r="C9" s="202"/>
      <c r="D9" s="212"/>
      <c r="E9" s="212"/>
      <c r="F9" s="212"/>
      <c r="G9" s="212"/>
      <c r="H9" s="212"/>
      <c r="I9" s="212"/>
      <c r="J9" s="221"/>
      <c r="K9" s="226"/>
      <c r="L9" s="226"/>
      <c r="M9" s="663"/>
      <c r="N9" s="226"/>
      <c r="O9" s="226"/>
      <c r="P9" s="226"/>
      <c r="Q9" s="226"/>
      <c r="R9" s="226"/>
      <c r="S9" s="226"/>
      <c r="T9" s="226"/>
      <c r="U9" s="414"/>
      <c r="W9" s="204"/>
    </row>
    <row r="10" spans="1:27" ht="18" customHeight="1" x14ac:dyDescent="0.25">
      <c r="B10" s="210"/>
      <c r="C10" s="202" t="s">
        <v>647</v>
      </c>
      <c r="D10" s="212"/>
      <c r="E10" s="212"/>
      <c r="F10" s="212"/>
      <c r="G10" s="212"/>
      <c r="H10" s="212"/>
      <c r="I10" s="212"/>
      <c r="J10" s="221"/>
      <c r="K10" s="226"/>
      <c r="L10" s="226"/>
      <c r="M10" s="663" t="s">
        <v>707</v>
      </c>
      <c r="N10" s="2027"/>
      <c r="O10" s="2028"/>
      <c r="P10" s="2028"/>
      <c r="Q10" s="2028"/>
      <c r="R10" s="2028"/>
      <c r="S10" s="2028"/>
      <c r="T10" s="2029"/>
      <c r="U10" s="414"/>
      <c r="W10" s="204"/>
    </row>
    <row r="11" spans="1:27" ht="6" customHeight="1" x14ac:dyDescent="0.25">
      <c r="B11" s="210"/>
      <c r="C11" s="202"/>
      <c r="D11" s="212"/>
      <c r="E11" s="656"/>
      <c r="F11" s="212"/>
      <c r="G11" s="212"/>
      <c r="H11" s="212"/>
      <c r="I11" s="212"/>
      <c r="J11" s="221"/>
      <c r="K11" s="226"/>
      <c r="L11" s="226"/>
      <c r="M11" s="663"/>
      <c r="N11" s="226"/>
      <c r="O11" s="226"/>
      <c r="P11" s="226"/>
      <c r="Q11" s="226"/>
      <c r="R11" s="226"/>
      <c r="S11" s="226"/>
      <c r="T11" s="226"/>
      <c r="U11" s="414"/>
      <c r="W11" s="204"/>
    </row>
    <row r="12" spans="1:27" ht="18" customHeight="1" x14ac:dyDescent="0.25">
      <c r="B12" s="210"/>
      <c r="C12" s="202" t="s">
        <v>696</v>
      </c>
      <c r="D12" s="212"/>
      <c r="E12" s="656"/>
      <c r="F12" s="212"/>
      <c r="G12" s="212"/>
      <c r="H12" s="212"/>
      <c r="I12" s="212"/>
      <c r="J12" s="221"/>
      <c r="K12" s="226"/>
      <c r="L12" s="226"/>
      <c r="M12" s="663" t="s">
        <v>629</v>
      </c>
      <c r="N12" s="2027"/>
      <c r="O12" s="2028"/>
      <c r="P12" s="2028"/>
      <c r="Q12" s="2028"/>
      <c r="R12" s="2028"/>
      <c r="S12" s="2028"/>
      <c r="T12" s="2029"/>
      <c r="U12" s="414"/>
      <c r="W12" s="204"/>
    </row>
    <row r="13" spans="1:27" ht="6" customHeight="1" x14ac:dyDescent="0.25">
      <c r="B13" s="210"/>
      <c r="C13" s="202"/>
      <c r="D13" s="212"/>
      <c r="E13" s="212"/>
      <c r="F13" s="212"/>
      <c r="G13" s="212"/>
      <c r="H13" s="212"/>
      <c r="I13" s="212"/>
      <c r="J13" s="221"/>
      <c r="K13" s="226"/>
      <c r="L13" s="226"/>
      <c r="M13" s="664"/>
      <c r="N13" s="226"/>
      <c r="O13" s="226"/>
      <c r="P13" s="226"/>
      <c r="Q13" s="226"/>
      <c r="R13" s="226"/>
      <c r="S13" s="226"/>
      <c r="T13" s="226"/>
      <c r="U13" s="414"/>
      <c r="W13" s="204"/>
    </row>
    <row r="14" spans="1:27" ht="18" customHeight="1" x14ac:dyDescent="0.25">
      <c r="B14" s="210"/>
      <c r="C14" s="202" t="s">
        <v>648</v>
      </c>
      <c r="D14" s="212"/>
      <c r="E14" s="212"/>
      <c r="F14" s="212"/>
      <c r="G14" s="212"/>
      <c r="H14" s="212"/>
      <c r="I14" s="212"/>
      <c r="J14" s="221"/>
      <c r="K14" s="226"/>
      <c r="L14" s="226"/>
      <c r="M14" s="663" t="s">
        <v>630</v>
      </c>
      <c r="N14" s="2027"/>
      <c r="O14" s="2028"/>
      <c r="P14" s="2028"/>
      <c r="Q14" s="2028"/>
      <c r="R14" s="2028"/>
      <c r="S14" s="2028"/>
      <c r="T14" s="2029"/>
      <c r="U14" s="414"/>
      <c r="W14" s="204"/>
    </row>
    <row r="15" spans="1:27" ht="14.1" customHeight="1" thickBot="1" x14ac:dyDescent="0.3">
      <c r="B15" s="222"/>
      <c r="C15" s="223"/>
      <c r="D15" s="223"/>
      <c r="E15" s="223"/>
      <c r="F15" s="223"/>
      <c r="G15" s="223"/>
      <c r="H15" s="223"/>
      <c r="I15" s="223"/>
      <c r="J15" s="223"/>
      <c r="K15" s="665"/>
      <c r="L15" s="660"/>
      <c r="M15" s="660"/>
      <c r="N15" s="660"/>
      <c r="O15" s="660"/>
      <c r="P15" s="660"/>
      <c r="Q15" s="660"/>
      <c r="R15" s="660"/>
      <c r="S15" s="660"/>
      <c r="T15" s="660"/>
      <c r="U15" s="661"/>
      <c r="W15" s="204"/>
      <c r="X15" s="501"/>
    </row>
    <row r="16" spans="1:27" ht="18" customHeight="1" thickBot="1" x14ac:dyDescent="0.3">
      <c r="B16" s="226"/>
      <c r="C16" s="359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658"/>
      <c r="W16" s="204"/>
      <c r="X16" s="501"/>
    </row>
    <row r="17" spans="2:24" ht="32.1" customHeight="1" thickBot="1" x14ac:dyDescent="0.3">
      <c r="B17" s="1733" t="str">
        <f>IF(VA_KOSTENANALYSE=2,"Sie können keinen Kurzbericht erstellen, wenn Sie eine Kostenanalyse mit eigenen Bestandsdaten durchführen (Teil D).",IF(
OR(VA_FEHLERMODUL=1,VA_FEHLER_AB=1,VA_FEHLER_CD=1,VA_FEHLER_D&gt;0),"Es fehlen noch Daten, bitte Teile A bis D prüfen. Kurzbericht kann nicht erstellt werden.",
"Druck / PDF: bitte nutzen Sie die Druckfunktion von Excel (im Menü oder Tastenkürzel Strg + P) – es wird nur der Kurzbericht unten ausgedruckt"))</f>
        <v>Es fehlen noch Daten, bitte Teile A bis D prüfen. Kurzbericht kann nicht erstellt werden.</v>
      </c>
      <c r="C17" s="1734"/>
      <c r="D17" s="1734"/>
      <c r="E17" s="1734"/>
      <c r="F17" s="1734"/>
      <c r="G17" s="1734"/>
      <c r="H17" s="1734"/>
      <c r="I17" s="1734"/>
      <c r="J17" s="1734"/>
      <c r="K17" s="1734"/>
      <c r="L17" s="1734"/>
      <c r="M17" s="1734"/>
      <c r="N17" s="1734"/>
      <c r="O17" s="1734"/>
      <c r="P17" s="1734"/>
      <c r="Q17" s="1734"/>
      <c r="R17" s="1734"/>
      <c r="S17" s="1734"/>
      <c r="T17" s="1734"/>
      <c r="U17" s="1735"/>
      <c r="W17" s="204"/>
      <c r="X17" s="501"/>
    </row>
    <row r="18" spans="2:24" ht="18" customHeight="1" thickBot="1" x14ac:dyDescent="0.3">
      <c r="B18" s="660"/>
      <c r="C18" s="240"/>
      <c r="D18" s="660"/>
      <c r="E18" s="660"/>
      <c r="F18" s="660"/>
      <c r="G18" s="660"/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W18" s="204"/>
      <c r="X18" s="501"/>
    </row>
    <row r="19" spans="2:24" ht="18" customHeight="1" x14ac:dyDescent="0.25">
      <c r="B19" s="723"/>
      <c r="C19" s="742"/>
      <c r="D19" s="742"/>
      <c r="E19" s="742"/>
      <c r="F19" s="742"/>
      <c r="G19" s="742"/>
      <c r="H19" s="742"/>
      <c r="I19" s="742"/>
      <c r="J19" s="742"/>
      <c r="K19" s="742"/>
      <c r="L19" s="742"/>
      <c r="M19" s="742"/>
      <c r="N19" s="742"/>
      <c r="O19" s="742"/>
      <c r="P19" s="742"/>
      <c r="Q19" s="742"/>
      <c r="R19" s="742"/>
      <c r="S19" s="742"/>
      <c r="T19" s="742"/>
      <c r="U19" s="743"/>
      <c r="W19" s="204"/>
      <c r="X19" s="501"/>
    </row>
    <row r="20" spans="2:24" ht="18" customHeight="1" x14ac:dyDescent="0.25">
      <c r="B20" s="719"/>
      <c r="C20" s="790" t="s">
        <v>670</v>
      </c>
      <c r="D20" s="720"/>
      <c r="E20" s="720"/>
      <c r="F20" s="720"/>
      <c r="G20" s="1779" t="str">
        <f>IF(VA_VERKEHRSSTATION="","Bahnhofsname wurde nicht eingegeben. Bitte Teil A prüfen.",VA_VERKEHRSSTATION)</f>
        <v>Bahnhofsname wurde nicht eingegeben. Bitte Teil A prüfen.</v>
      </c>
      <c r="H20" s="1780"/>
      <c r="I20" s="1780"/>
      <c r="J20" s="1780"/>
      <c r="K20" s="1780"/>
      <c r="L20" s="1780"/>
      <c r="M20" s="1780"/>
      <c r="N20" s="1781"/>
      <c r="O20" s="720"/>
      <c r="P20" s="720"/>
      <c r="Q20" s="720"/>
      <c r="R20" s="756" t="s">
        <v>679</v>
      </c>
      <c r="S20" s="1782">
        <f ca="1">TODAY()</f>
        <v>45045</v>
      </c>
      <c r="T20" s="1763"/>
      <c r="U20" s="721"/>
      <c r="W20" s="204"/>
      <c r="X20" s="501"/>
    </row>
    <row r="21" spans="2:24" ht="6" customHeight="1" x14ac:dyDescent="0.25">
      <c r="B21" s="719"/>
      <c r="C21" s="722"/>
      <c r="D21" s="720"/>
      <c r="E21" s="720"/>
      <c r="F21" s="720"/>
      <c r="G21" s="720"/>
      <c r="H21" s="720"/>
      <c r="I21" s="720"/>
      <c r="J21" s="720"/>
      <c r="K21" s="720"/>
      <c r="L21" s="720"/>
      <c r="M21" s="718"/>
      <c r="N21" s="720"/>
      <c r="O21" s="720"/>
      <c r="P21" s="720"/>
      <c r="Q21" s="720"/>
      <c r="R21" s="756"/>
      <c r="S21" s="720"/>
      <c r="T21" s="720"/>
      <c r="U21" s="721"/>
      <c r="W21" s="204"/>
      <c r="X21" s="501"/>
    </row>
    <row r="22" spans="2:24" ht="18" customHeight="1" x14ac:dyDescent="0.25">
      <c r="B22" s="719"/>
      <c r="C22" s="722" t="s">
        <v>709</v>
      </c>
      <c r="D22" s="720"/>
      <c r="E22" s="720"/>
      <c r="F22" s="720"/>
      <c r="G22" s="1776" t="str">
        <f>IF(N10="","",TRIM(N10))</f>
        <v/>
      </c>
      <c r="H22" s="1777"/>
      <c r="I22" s="1777"/>
      <c r="J22" s="1777"/>
      <c r="K22" s="1777"/>
      <c r="L22" s="1777"/>
      <c r="M22" s="1777"/>
      <c r="N22" s="1778"/>
      <c r="O22" s="720"/>
      <c r="P22" s="720"/>
      <c r="Q22" s="720"/>
      <c r="R22" s="756" t="s">
        <v>665</v>
      </c>
      <c r="S22" s="1783" t="str">
        <f>V_VER1</f>
        <v>3.3</v>
      </c>
      <c r="T22" s="1763"/>
      <c r="U22" s="721"/>
      <c r="W22" s="204"/>
      <c r="X22" s="501"/>
    </row>
    <row r="23" spans="2:24" ht="6" customHeight="1" x14ac:dyDescent="0.25">
      <c r="B23" s="719"/>
      <c r="C23" s="718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O23" s="720"/>
      <c r="P23" s="720"/>
      <c r="Q23" s="720"/>
      <c r="R23" s="720"/>
      <c r="S23" s="720"/>
      <c r="T23" s="720"/>
      <c r="U23" s="721"/>
      <c r="W23" s="204"/>
      <c r="X23" s="501"/>
    </row>
    <row r="24" spans="2:24" ht="18" customHeight="1" x14ac:dyDescent="0.25">
      <c r="B24" s="719"/>
      <c r="C24" s="722" t="s">
        <v>650</v>
      </c>
      <c r="D24" s="720"/>
      <c r="E24" s="720"/>
      <c r="F24" s="720"/>
      <c r="G24" s="1776" t="str">
        <f>IF(N6="","",TRIM(N6)) &amp; IF(N8="","",IF(N6="",""," / ") &amp; TRIM(N8))</f>
        <v/>
      </c>
      <c r="H24" s="1777"/>
      <c r="I24" s="1777"/>
      <c r="J24" s="1777"/>
      <c r="K24" s="1777"/>
      <c r="L24" s="1777"/>
      <c r="M24" s="1777"/>
      <c r="N24" s="1777"/>
      <c r="O24" s="1777"/>
      <c r="P24" s="1777"/>
      <c r="Q24" s="1777"/>
      <c r="R24" s="1777"/>
      <c r="S24" s="1777"/>
      <c r="T24" s="1778"/>
      <c r="U24" s="721"/>
      <c r="W24" s="204"/>
      <c r="X24" s="501"/>
    </row>
    <row r="25" spans="2:24" ht="6" customHeight="1" x14ac:dyDescent="0.25">
      <c r="B25" s="719"/>
      <c r="C25" s="722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O25" s="720"/>
      <c r="P25" s="720"/>
      <c r="Q25" s="720"/>
      <c r="R25" s="720"/>
      <c r="S25" s="720"/>
      <c r="T25" s="720"/>
      <c r="U25" s="721"/>
      <c r="W25" s="204"/>
      <c r="X25" s="501"/>
    </row>
    <row r="26" spans="2:24" ht="18" customHeight="1" x14ac:dyDescent="0.25">
      <c r="B26" s="719"/>
      <c r="C26" s="722" t="s">
        <v>651</v>
      </c>
      <c r="D26" s="720"/>
      <c r="E26" s="720"/>
      <c r="F26" s="720"/>
      <c r="G26" s="1776" t="str">
        <f>IF(N12="","",TRIM(N12)) &amp; IF(N14="","",IF(N12="",""," / ") &amp; TRIM(N14))</f>
        <v/>
      </c>
      <c r="H26" s="1777"/>
      <c r="I26" s="1777"/>
      <c r="J26" s="1777"/>
      <c r="K26" s="1777"/>
      <c r="L26" s="1777"/>
      <c r="M26" s="1777"/>
      <c r="N26" s="1777"/>
      <c r="O26" s="1777"/>
      <c r="P26" s="1777"/>
      <c r="Q26" s="1777"/>
      <c r="R26" s="1777"/>
      <c r="S26" s="1777"/>
      <c r="T26" s="1778"/>
      <c r="U26" s="721"/>
      <c r="W26" s="204"/>
      <c r="X26" s="501"/>
    </row>
    <row r="27" spans="2:24" ht="6" customHeight="1" x14ac:dyDescent="0.25">
      <c r="B27" s="719"/>
      <c r="C27" s="722"/>
      <c r="D27" s="720"/>
      <c r="E27" s="720"/>
      <c r="F27" s="720"/>
      <c r="G27" s="935"/>
      <c r="H27" s="935"/>
      <c r="I27" s="935"/>
      <c r="J27" s="935"/>
      <c r="K27" s="935"/>
      <c r="L27" s="935"/>
      <c r="M27" s="935"/>
      <c r="N27" s="935"/>
      <c r="O27" s="935"/>
      <c r="P27" s="935"/>
      <c r="Q27" s="935"/>
      <c r="R27" s="935"/>
      <c r="S27" s="935"/>
      <c r="T27" s="935"/>
      <c r="U27" s="721"/>
      <c r="W27" s="204"/>
      <c r="X27" s="501"/>
    </row>
    <row r="28" spans="2:24" ht="18" customHeight="1" x14ac:dyDescent="0.25">
      <c r="B28" s="719"/>
      <c r="C28" s="722" t="s">
        <v>842</v>
      </c>
      <c r="D28" s="720"/>
      <c r="E28" s="720"/>
      <c r="F28" s="720"/>
      <c r="G28" s="1776" t="str">
        <f>TBS_4</f>
        <v>(1.) ---          (2.) ---          (3.) ---          (4.) ---          (5.) ---</v>
      </c>
      <c r="H28" s="1777"/>
      <c r="I28" s="1777"/>
      <c r="J28" s="1777"/>
      <c r="K28" s="1777"/>
      <c r="L28" s="1777"/>
      <c r="M28" s="1777"/>
      <c r="N28" s="1777"/>
      <c r="O28" s="1777"/>
      <c r="P28" s="1777"/>
      <c r="Q28" s="1777"/>
      <c r="R28" s="1777"/>
      <c r="S28" s="1777"/>
      <c r="T28" s="1778"/>
      <c r="U28" s="721"/>
      <c r="W28" s="204"/>
      <c r="X28" s="501"/>
    </row>
    <row r="29" spans="2:24" ht="14.1" customHeight="1" thickBot="1" x14ac:dyDescent="0.3">
      <c r="B29" s="719"/>
      <c r="C29" s="744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745"/>
      <c r="T29" s="745"/>
      <c r="U29" s="721"/>
      <c r="W29" s="204"/>
      <c r="X29" s="501"/>
    </row>
    <row r="30" spans="2:24" ht="14.1" customHeight="1" x14ac:dyDescent="0.25">
      <c r="B30" s="719"/>
      <c r="C30" s="722"/>
      <c r="D30" s="720"/>
      <c r="E30" s="720"/>
      <c r="F30" s="720"/>
      <c r="G30" s="720"/>
      <c r="H30" s="720"/>
      <c r="I30" s="720"/>
      <c r="J30" s="720"/>
      <c r="K30" s="720"/>
      <c r="L30" s="720"/>
      <c r="M30" s="720"/>
      <c r="N30" s="720"/>
      <c r="O30" s="720"/>
      <c r="P30" s="720"/>
      <c r="Q30" s="720"/>
      <c r="R30" s="720"/>
      <c r="S30" s="720"/>
      <c r="T30" s="720"/>
      <c r="U30" s="721"/>
      <c r="W30" s="204"/>
      <c r="X30" s="501"/>
    </row>
    <row r="31" spans="2:24" ht="18" customHeight="1" x14ac:dyDescent="0.25">
      <c r="B31" s="719"/>
      <c r="C31" s="763" t="s">
        <v>652</v>
      </c>
      <c r="D31" s="720"/>
      <c r="E31" s="720"/>
      <c r="F31" s="720"/>
      <c r="G31" s="720"/>
      <c r="H31" s="720"/>
      <c r="I31" s="720"/>
      <c r="J31" s="756" t="s">
        <v>655</v>
      </c>
      <c r="K31" s="1786" t="str">
        <f>IF(VA_BESTANDSEINGABE=0,"",VA_BESTANDSEINGABE)</f>
        <v/>
      </c>
      <c r="L31" s="1787"/>
      <c r="M31" s="720"/>
      <c r="N31" s="720"/>
      <c r="O31" s="756" t="s">
        <v>671</v>
      </c>
      <c r="P31" s="1783" t="str">
        <f>IF(VA_BESTANDSEINGABE=0,"",IF(
VA_BESTANDSEINGABE=1,"für eine Bahnhofsseite",IF(
VA_ZUSAMMEN=1,intern!B169,intern!B168)))</f>
        <v/>
      </c>
      <c r="Q31" s="1762"/>
      <c r="R31" s="1762"/>
      <c r="S31" s="1762"/>
      <c r="T31" s="1763"/>
      <c r="U31" s="721"/>
      <c r="W31" s="204"/>
      <c r="X31" s="501"/>
    </row>
    <row r="32" spans="2:24" ht="15.95" customHeight="1" x14ac:dyDescent="0.25">
      <c r="B32" s="719"/>
      <c r="C32" s="738"/>
      <c r="D32" s="720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720"/>
      <c r="P32" s="720"/>
      <c r="Q32" s="720"/>
      <c r="R32" s="720"/>
      <c r="S32" s="720"/>
      <c r="T32" s="720"/>
      <c r="U32" s="721"/>
      <c r="W32" s="204"/>
      <c r="X32" s="501"/>
    </row>
    <row r="33" spans="2:24" ht="18" customHeight="1" x14ac:dyDescent="0.25">
      <c r="B33" s="719"/>
      <c r="C33" s="738" t="s">
        <v>673</v>
      </c>
      <c r="D33" s="720"/>
      <c r="E33" s="720"/>
      <c r="F33" s="720"/>
      <c r="G33" s="720"/>
      <c r="H33" s="720"/>
      <c r="I33" s="1776" t="str">
        <f>IF(VA_TFAUSWAHL=0,"",IF(
VA_TFAUSWAHL=2,LEFT(VE_TFAUSWAHL,34),
VE_TFAUSWAHL))</f>
        <v/>
      </c>
      <c r="J33" s="1777"/>
      <c r="K33" s="1777"/>
      <c r="L33" s="1777"/>
      <c r="M33" s="1777"/>
      <c r="N33" s="1778"/>
      <c r="O33" s="720"/>
      <c r="P33" s="720"/>
      <c r="Q33" s="720"/>
      <c r="R33" s="756" t="s">
        <v>678</v>
      </c>
      <c r="S33" s="1784" t="str">
        <f>IFERROR(VA_TF-1,"")</f>
        <v/>
      </c>
      <c r="T33" s="1785"/>
      <c r="U33" s="721"/>
      <c r="W33" s="204"/>
      <c r="X33" s="501"/>
    </row>
    <row r="34" spans="2:24" ht="6" customHeight="1" x14ac:dyDescent="0.25">
      <c r="B34" s="719"/>
      <c r="C34" s="738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N34" s="720"/>
      <c r="O34" s="720"/>
      <c r="P34" s="720"/>
      <c r="Q34" s="720"/>
      <c r="R34" s="720"/>
      <c r="S34" s="720"/>
      <c r="T34" s="720"/>
      <c r="U34" s="721"/>
      <c r="W34" s="204"/>
      <c r="X34" s="501"/>
    </row>
    <row r="35" spans="2:24" ht="18" customHeight="1" x14ac:dyDescent="0.25">
      <c r="B35" s="719"/>
      <c r="C35" s="738" t="s">
        <v>674</v>
      </c>
      <c r="D35" s="720"/>
      <c r="E35" s="720"/>
      <c r="F35" s="720"/>
      <c r="G35" s="720"/>
      <c r="H35" s="720"/>
      <c r="I35" s="1776" t="str">
        <f>IF(VA_TFAUSWAHL=0,"",IF(
VA_TFAUSWAHL=1,"Ein- und Aussteiger heute / Prognose:    " &amp; TEXT(VP_0_EAHEUTE,"#.##0") &amp; " / " &amp; TEXT(VP_1_DBEA2040,"#.##0"),IF(
VA_TFAUSWAHL=2,"Ein- und Aussteiger heute / im Prognosejahr " &amp; VP_2_RVJAHR &amp; ":    " &amp; TEXT(VP_0_EAHEUTE,"#.##0") &amp; " / " &amp; IF(VP_2_RVEA="",IF(VP_2_RVTF&gt;0,"+","") &amp; VP_2_RVTF &amp; " %",TEXT(VP_2_RVEA,"#.##0")),IF(
VA_TFAUSWAHL=3,"Einwohnerzahl heute / im Prognosejahr " &amp; VP_3_BVJAHR &amp; ":    " &amp; TEXT(VP_3_BVHEUTE,"#.##0") &amp; " / " &amp; IF(VP_3_BVZUKUNFT="",IF(VP_3_BVTF&gt;0,"+","") &amp; VP_3_BVTF &amp; " %",TEXT(VP_3_BVZUKUNFT,"#.##0")) &amp; "   |   Umweltverbund " &amp; VE_3_UVB,"keine Angabe bei manueller Eingabe"))))</f>
        <v/>
      </c>
      <c r="J35" s="1777"/>
      <c r="K35" s="1777"/>
      <c r="L35" s="1777"/>
      <c r="M35" s="1777"/>
      <c r="N35" s="1777"/>
      <c r="O35" s="1777"/>
      <c r="P35" s="1777"/>
      <c r="Q35" s="1777"/>
      <c r="R35" s="1777"/>
      <c r="S35" s="1777"/>
      <c r="T35" s="1778"/>
      <c r="U35" s="721"/>
      <c r="W35" s="204"/>
      <c r="X35" s="501"/>
    </row>
    <row r="36" spans="2:24" ht="15.95" customHeight="1" x14ac:dyDescent="0.25">
      <c r="B36" s="719"/>
      <c r="C36" s="738"/>
      <c r="D36" s="720"/>
      <c r="E36" s="720"/>
      <c r="F36" s="720"/>
      <c r="G36" s="720"/>
      <c r="H36" s="720"/>
      <c r="I36" s="720"/>
      <c r="J36" s="720"/>
      <c r="K36" s="720"/>
      <c r="L36" s="720"/>
      <c r="M36" s="720"/>
      <c r="N36" s="720"/>
      <c r="O36" s="720"/>
      <c r="P36" s="720"/>
      <c r="Q36" s="720"/>
      <c r="R36" s="720"/>
      <c r="S36" s="720"/>
      <c r="T36" s="720"/>
      <c r="U36" s="721"/>
      <c r="W36" s="204"/>
      <c r="X36" s="501"/>
    </row>
    <row r="37" spans="2:24" ht="18" customHeight="1" x14ac:dyDescent="0.25">
      <c r="B37" s="719"/>
      <c r="C37" s="1819" t="s">
        <v>779</v>
      </c>
      <c r="D37" s="1819"/>
      <c r="E37" s="1819"/>
      <c r="F37" s="1820"/>
      <c r="G37" s="738"/>
      <c r="H37" s="720"/>
      <c r="I37" s="720"/>
      <c r="J37" s="720"/>
      <c r="K37" s="720"/>
      <c r="L37" s="756" t="s">
        <v>780</v>
      </c>
      <c r="M37" s="1783" t="str">
        <f>IF(VP_5_SICH_BESTAND_VORHANDEN=1,"---",VE_5_ERSTMALIGSICHER)</f>
        <v>nein</v>
      </c>
      <c r="N37" s="1763"/>
      <c r="O37" s="720"/>
      <c r="R37" s="756" t="s">
        <v>675</v>
      </c>
      <c r="S37" s="1783" t="str">
        <f>VE_5_DIEBSTAHL</f>
        <v>nein</v>
      </c>
      <c r="T37" s="1763"/>
      <c r="U37" s="721"/>
      <c r="W37" s="204"/>
      <c r="X37" s="501"/>
    </row>
    <row r="38" spans="2:24" ht="6" customHeight="1" x14ac:dyDescent="0.25">
      <c r="B38" s="719"/>
      <c r="C38" s="1819"/>
      <c r="D38" s="1819"/>
      <c r="E38" s="1819"/>
      <c r="F38" s="1820"/>
      <c r="G38" s="738"/>
      <c r="H38" s="720"/>
      <c r="I38" s="720"/>
      <c r="J38" s="720"/>
      <c r="K38" s="720"/>
      <c r="L38" s="756"/>
      <c r="M38" s="720"/>
      <c r="N38" s="720"/>
      <c r="O38" s="720"/>
      <c r="R38" s="756"/>
      <c r="S38" s="720"/>
      <c r="T38" s="720"/>
      <c r="U38" s="721"/>
      <c r="W38" s="204"/>
      <c r="X38" s="501"/>
    </row>
    <row r="39" spans="2:24" ht="18" customHeight="1" x14ac:dyDescent="0.25">
      <c r="B39" s="719"/>
      <c r="C39" s="1819"/>
      <c r="D39" s="1819"/>
      <c r="E39" s="1819"/>
      <c r="F39" s="1820"/>
      <c r="G39" s="738"/>
      <c r="H39" s="720"/>
      <c r="I39" s="720"/>
      <c r="J39" s="720"/>
      <c r="K39" s="720"/>
      <c r="L39" s="756" t="s">
        <v>677</v>
      </c>
      <c r="M39" s="1783" t="str">
        <f>VE_5_ENTGELTFREI</f>
        <v>nein</v>
      </c>
      <c r="N39" s="1763"/>
      <c r="O39" s="720"/>
      <c r="R39" s="756" t="s">
        <v>676</v>
      </c>
      <c r="S39" s="1783" t="str">
        <f>VE_5_PENDLER</f>
        <v>nein</v>
      </c>
      <c r="T39" s="1763"/>
      <c r="U39" s="721"/>
      <c r="W39" s="204"/>
      <c r="X39" s="501"/>
    </row>
    <row r="40" spans="2:24" ht="24" customHeight="1" x14ac:dyDescent="0.25">
      <c r="B40" s="719"/>
      <c r="C40" s="738"/>
      <c r="D40" s="720"/>
      <c r="E40" s="720"/>
      <c r="F40" s="720"/>
      <c r="G40" s="720"/>
      <c r="H40" s="720"/>
      <c r="I40" s="720"/>
      <c r="J40" s="720"/>
      <c r="K40" s="720"/>
      <c r="L40" s="746"/>
      <c r="M40" s="746"/>
      <c r="N40" s="746"/>
      <c r="O40" s="746"/>
      <c r="P40" s="746"/>
      <c r="Q40" s="746"/>
      <c r="R40" s="746"/>
      <c r="S40" s="746"/>
      <c r="T40" s="720"/>
      <c r="U40" s="721"/>
      <c r="W40" s="204"/>
      <c r="X40" s="501"/>
    </row>
    <row r="41" spans="2:24" ht="18" customHeight="1" x14ac:dyDescent="0.25">
      <c r="B41" s="719"/>
      <c r="C41" s="764" t="s">
        <v>666</v>
      </c>
      <c r="D41" s="720"/>
      <c r="E41" s="720"/>
      <c r="F41" s="720"/>
      <c r="G41" s="720"/>
      <c r="H41" s="720"/>
      <c r="I41" s="720"/>
      <c r="J41" s="720"/>
      <c r="K41" s="720"/>
      <c r="L41" s="746"/>
      <c r="M41" s="746"/>
      <c r="N41" s="746"/>
      <c r="O41" s="746"/>
      <c r="P41" s="746"/>
      <c r="Q41" s="746"/>
      <c r="R41" s="746"/>
      <c r="S41" s="746"/>
      <c r="T41" s="720"/>
      <c r="U41" s="721"/>
      <c r="W41" s="204"/>
      <c r="X41" s="501"/>
    </row>
    <row r="42" spans="2:24" ht="12" customHeight="1" x14ac:dyDescent="0.25">
      <c r="B42" s="719"/>
      <c r="C42" s="738"/>
      <c r="D42" s="720"/>
      <c r="E42" s="720"/>
      <c r="F42" s="720"/>
      <c r="G42" s="720"/>
      <c r="H42" s="720"/>
      <c r="I42" s="720"/>
      <c r="J42" s="720"/>
      <c r="K42" s="720"/>
      <c r="L42" s="746"/>
      <c r="M42" s="746"/>
      <c r="N42" s="746"/>
      <c r="O42" s="746"/>
      <c r="P42" s="746"/>
      <c r="Q42" s="746"/>
      <c r="R42" s="746"/>
      <c r="S42" s="746"/>
      <c r="T42" s="720"/>
      <c r="U42" s="721"/>
      <c r="W42" s="204"/>
      <c r="X42" s="501"/>
    </row>
    <row r="43" spans="2:24" ht="24" customHeight="1" x14ac:dyDescent="0.25">
      <c r="B43" s="719"/>
      <c r="C43" s="1769" t="str">
        <f>'C ▪ Ergebnisjustierung'!C8</f>
        <v>Bezeichnung der Bahnhofsseite fehlt</v>
      </c>
      <c r="D43" s="1769"/>
      <c r="E43" s="1769"/>
      <c r="F43" s="1769"/>
      <c r="G43" s="1769"/>
      <c r="H43" s="1769"/>
      <c r="I43" s="1769"/>
      <c r="J43" s="1769"/>
      <c r="K43" s="724"/>
      <c r="L43" s="718"/>
      <c r="M43" s="1769" t="str">
        <f>'C ▪ Ergebnisjustierung'!M8</f>
        <v>Bezeichnung der Bahnhofsseite fehlt</v>
      </c>
      <c r="N43" s="1769"/>
      <c r="O43" s="1769"/>
      <c r="P43" s="1769"/>
      <c r="Q43" s="1769"/>
      <c r="R43" s="1769"/>
      <c r="S43" s="1769"/>
      <c r="T43" s="1769"/>
      <c r="U43" s="721"/>
      <c r="W43" s="204"/>
      <c r="X43" s="501"/>
    </row>
    <row r="44" spans="2:24" ht="18" customHeight="1" thickBot="1" x14ac:dyDescent="0.3">
      <c r="B44" s="719"/>
      <c r="C44" s="722"/>
      <c r="D44" s="720"/>
      <c r="E44" s="720"/>
      <c r="F44" s="720"/>
      <c r="G44" s="720"/>
      <c r="H44" s="720"/>
      <c r="I44" s="720"/>
      <c r="J44" s="720"/>
      <c r="K44" s="725"/>
      <c r="L44" s="720"/>
      <c r="M44" s="720"/>
      <c r="N44" s="720"/>
      <c r="O44" s="720"/>
      <c r="P44" s="720"/>
      <c r="Q44" s="720"/>
      <c r="R44" s="720"/>
      <c r="S44" s="720"/>
      <c r="T44" s="720"/>
      <c r="U44" s="721"/>
      <c r="W44" s="204"/>
      <c r="X44" s="501"/>
    </row>
    <row r="45" spans="2:24" ht="36" customHeight="1" thickBot="1" x14ac:dyDescent="0.3">
      <c r="B45" s="719"/>
      <c r="C45" s="1770" t="s">
        <v>249</v>
      </c>
      <c r="D45" s="1771"/>
      <c r="E45" s="1771"/>
      <c r="F45" s="1771"/>
      <c r="G45" s="1772"/>
      <c r="H45" s="726" t="s">
        <v>477</v>
      </c>
      <c r="I45" s="727" t="s">
        <v>654</v>
      </c>
      <c r="J45" s="728" t="s">
        <v>653</v>
      </c>
      <c r="K45" s="725"/>
      <c r="L45" s="725"/>
      <c r="M45" s="1770" t="s">
        <v>249</v>
      </c>
      <c r="N45" s="1771"/>
      <c r="O45" s="1771"/>
      <c r="P45" s="1771"/>
      <c r="Q45" s="1772"/>
      <c r="R45" s="726" t="s">
        <v>477</v>
      </c>
      <c r="S45" s="727" t="s">
        <v>654</v>
      </c>
      <c r="T45" s="728" t="s">
        <v>653</v>
      </c>
      <c r="U45" s="721"/>
      <c r="W45" s="204"/>
      <c r="X45" s="501"/>
    </row>
    <row r="46" spans="2:24" ht="18" customHeight="1" x14ac:dyDescent="0.25">
      <c r="B46" s="719"/>
      <c r="C46" s="1773" t="s">
        <v>768</v>
      </c>
      <c r="D46" s="1774"/>
      <c r="E46" s="1774"/>
      <c r="F46" s="1774"/>
      <c r="G46" s="1775"/>
      <c r="H46" s="729">
        <f>'C ▪ Ergebnisjustierung'!H28</f>
        <v>0</v>
      </c>
      <c r="I46" s="730">
        <f>'C ▪ Ergebnisjustierung'!I28</f>
        <v>0</v>
      </c>
      <c r="J46" s="731" t="str">
        <f>'C ▪ Ergebnisjustierung'!J28</f>
        <v/>
      </c>
      <c r="K46" s="724"/>
      <c r="L46" s="724"/>
      <c r="M46" s="1773" t="s">
        <v>768</v>
      </c>
      <c r="N46" s="1774"/>
      <c r="O46" s="1774"/>
      <c r="P46" s="1774"/>
      <c r="Q46" s="1775"/>
      <c r="R46" s="732">
        <f>'C ▪ Ergebnisjustierung'!R28</f>
        <v>0</v>
      </c>
      <c r="S46" s="733">
        <f>'C ▪ Ergebnisjustierung'!S28</f>
        <v>0</v>
      </c>
      <c r="T46" s="734" t="str">
        <f>'C ▪ Ergebnisjustierung'!T28</f>
        <v/>
      </c>
      <c r="U46" s="721"/>
      <c r="W46" s="204"/>
      <c r="X46" s="501"/>
    </row>
    <row r="47" spans="2:24" ht="18" customHeight="1" x14ac:dyDescent="0.25">
      <c r="B47" s="719"/>
      <c r="C47" s="1816" t="s">
        <v>769</v>
      </c>
      <c r="D47" s="1817"/>
      <c r="E47" s="1817"/>
      <c r="F47" s="1817"/>
      <c r="G47" s="1818"/>
      <c r="H47" s="729">
        <f>'C ▪ Ergebnisjustierung'!H29</f>
        <v>0</v>
      </c>
      <c r="I47" s="730">
        <f>'C ▪ Ergebnisjustierung'!I29</f>
        <v>0</v>
      </c>
      <c r="J47" s="731" t="str">
        <f>'C ▪ Ergebnisjustierung'!J29</f>
        <v/>
      </c>
      <c r="K47" s="724"/>
      <c r="L47" s="724"/>
      <c r="M47" s="1816" t="s">
        <v>769</v>
      </c>
      <c r="N47" s="1817"/>
      <c r="O47" s="1817"/>
      <c r="P47" s="1817"/>
      <c r="Q47" s="1818"/>
      <c r="R47" s="729">
        <f>'C ▪ Ergebnisjustierung'!R29</f>
        <v>0</v>
      </c>
      <c r="S47" s="733">
        <f>'C ▪ Ergebnisjustierung'!S29</f>
        <v>0</v>
      </c>
      <c r="T47" s="731" t="str">
        <f>'C ▪ Ergebnisjustierung'!T29</f>
        <v/>
      </c>
      <c r="U47" s="721"/>
      <c r="W47" s="204"/>
      <c r="X47" s="501"/>
    </row>
    <row r="48" spans="2:24" ht="18" customHeight="1" x14ac:dyDescent="0.25">
      <c r="B48" s="719"/>
      <c r="C48" s="1816" t="s">
        <v>2</v>
      </c>
      <c r="D48" s="1817"/>
      <c r="E48" s="1817"/>
      <c r="F48" s="1817"/>
      <c r="G48" s="1818"/>
      <c r="H48" s="729">
        <f>'C ▪ Ergebnisjustierung'!H30</f>
        <v>0</v>
      </c>
      <c r="I48" s="730">
        <f>'C ▪ Ergebnisjustierung'!I30</f>
        <v>0</v>
      </c>
      <c r="J48" s="731" t="str">
        <f>'C ▪ Ergebnisjustierung'!J30</f>
        <v/>
      </c>
      <c r="K48" s="724"/>
      <c r="L48" s="724"/>
      <c r="M48" s="1816" t="s">
        <v>2</v>
      </c>
      <c r="N48" s="1817"/>
      <c r="O48" s="1817"/>
      <c r="P48" s="1817"/>
      <c r="Q48" s="1818"/>
      <c r="R48" s="729">
        <f>'C ▪ Ergebnisjustierung'!R30</f>
        <v>0</v>
      </c>
      <c r="S48" s="733">
        <f>'C ▪ Ergebnisjustierung'!S30</f>
        <v>0</v>
      </c>
      <c r="T48" s="731" t="str">
        <f>'C ▪ Ergebnisjustierung'!T30</f>
        <v/>
      </c>
      <c r="U48" s="721"/>
      <c r="W48" s="204"/>
      <c r="X48" s="501"/>
    </row>
    <row r="49" spans="2:24" ht="18" customHeight="1" thickBot="1" x14ac:dyDescent="0.3">
      <c r="B49" s="719"/>
      <c r="C49" s="1810" t="s">
        <v>0</v>
      </c>
      <c r="D49" s="1811"/>
      <c r="E49" s="1811"/>
      <c r="F49" s="1811"/>
      <c r="G49" s="1812"/>
      <c r="H49" s="735" t="s">
        <v>105</v>
      </c>
      <c r="I49" s="730">
        <f>'C ▪ Ergebnisjustierung'!I31</f>
        <v>0</v>
      </c>
      <c r="J49" s="736" t="s">
        <v>105</v>
      </c>
      <c r="K49" s="724"/>
      <c r="L49" s="724"/>
      <c r="M49" s="1810" t="s">
        <v>0</v>
      </c>
      <c r="N49" s="1811"/>
      <c r="O49" s="1811"/>
      <c r="P49" s="1811"/>
      <c r="Q49" s="1812"/>
      <c r="R49" s="735" t="s">
        <v>105</v>
      </c>
      <c r="S49" s="733">
        <f>'C ▪ Ergebnisjustierung'!S31</f>
        <v>0</v>
      </c>
      <c r="T49" s="737" t="s">
        <v>105</v>
      </c>
      <c r="U49" s="721"/>
      <c r="W49" s="204"/>
      <c r="X49" s="501"/>
    </row>
    <row r="50" spans="2:24" ht="21" customHeight="1" thickBot="1" x14ac:dyDescent="0.3">
      <c r="B50" s="719"/>
      <c r="C50" s="1813" t="s">
        <v>104</v>
      </c>
      <c r="D50" s="1814"/>
      <c r="E50" s="1814"/>
      <c r="F50" s="1814"/>
      <c r="G50" s="1815"/>
      <c r="H50" s="758">
        <f>'C ▪ Ergebnisjustierung'!H32</f>
        <v>0</v>
      </c>
      <c r="I50" s="761">
        <f>'C ▪ Ergebnisjustierung'!I32</f>
        <v>0</v>
      </c>
      <c r="J50" s="762" t="str">
        <f>'C ▪ Ergebnisjustierung'!J32</f>
        <v/>
      </c>
      <c r="K50" s="724"/>
      <c r="L50" s="724"/>
      <c r="M50" s="1813" t="s">
        <v>104</v>
      </c>
      <c r="N50" s="1814"/>
      <c r="O50" s="1814"/>
      <c r="P50" s="1814"/>
      <c r="Q50" s="1815"/>
      <c r="R50" s="758">
        <f>'C ▪ Ergebnisjustierung'!R32</f>
        <v>0</v>
      </c>
      <c r="S50" s="759">
        <f>'C ▪ Ergebnisjustierung'!S32</f>
        <v>0</v>
      </c>
      <c r="T50" s="760" t="str">
        <f>'C ▪ Ergebnisjustierung'!T32</f>
        <v/>
      </c>
      <c r="U50" s="721"/>
      <c r="W50" s="204"/>
      <c r="X50" s="501"/>
    </row>
    <row r="51" spans="2:24" ht="26.1" customHeight="1" x14ac:dyDescent="0.25">
      <c r="B51" s="719"/>
      <c r="C51" s="995" t="str">
        <f>IF(intern!M40&gt;0,"Nicht nutzbare Stellplätze (nicht in Gesamt enthalten):  "&amp;intern!M40,"")</f>
        <v/>
      </c>
      <c r="D51" s="720"/>
      <c r="E51" s="720"/>
      <c r="F51" s="720"/>
      <c r="G51" s="720"/>
      <c r="H51" s="720"/>
      <c r="I51" s="720"/>
      <c r="J51" s="720"/>
      <c r="K51" s="720"/>
      <c r="L51" s="720"/>
      <c r="M51" s="995" t="str">
        <f>IF(intern!W40&gt;0,"Nicht nutzbare Stellplätze (nicht in Gesamt enthalten):  "&amp;intern!W40,"")</f>
        <v/>
      </c>
      <c r="N51" s="720"/>
      <c r="O51" s="720"/>
      <c r="P51" s="720"/>
      <c r="Q51" s="720"/>
      <c r="R51" s="720"/>
      <c r="S51" s="720"/>
      <c r="T51" s="720"/>
      <c r="U51" s="721"/>
      <c r="W51" s="204"/>
      <c r="X51" s="501"/>
    </row>
    <row r="52" spans="2:24" ht="18" customHeight="1" x14ac:dyDescent="0.25">
      <c r="B52" s="719"/>
      <c r="C52" s="764" t="s">
        <v>743</v>
      </c>
      <c r="D52" s="720"/>
      <c r="E52" s="720"/>
      <c r="F52" s="720"/>
      <c r="G52" s="720"/>
      <c r="H52" s="720"/>
      <c r="I52" s="720"/>
      <c r="J52" s="720"/>
      <c r="K52" s="720"/>
      <c r="L52" s="720"/>
      <c r="M52" s="720"/>
      <c r="N52" s="720"/>
      <c r="O52" s="720"/>
      <c r="P52" s="720"/>
      <c r="Q52" s="720"/>
      <c r="R52" s="720"/>
      <c r="S52" s="720"/>
      <c r="T52" s="720"/>
      <c r="U52" s="721"/>
      <c r="W52" s="204"/>
      <c r="X52" s="501"/>
    </row>
    <row r="53" spans="2:24" ht="12" customHeight="1" x14ac:dyDescent="0.25">
      <c r="B53" s="719"/>
      <c r="C53" s="738"/>
      <c r="D53" s="720"/>
      <c r="E53" s="720"/>
      <c r="F53" s="720"/>
      <c r="G53" s="720"/>
      <c r="H53" s="720"/>
      <c r="I53" s="720"/>
      <c r="J53" s="720"/>
      <c r="K53" s="720"/>
      <c r="L53" s="720"/>
      <c r="M53" s="720"/>
      <c r="N53" s="720"/>
      <c r="O53" s="720"/>
      <c r="P53" s="720"/>
      <c r="Q53" s="720"/>
      <c r="R53" s="720"/>
      <c r="S53" s="720"/>
      <c r="T53" s="720"/>
      <c r="U53" s="721"/>
      <c r="W53" s="204"/>
      <c r="X53" s="501"/>
    </row>
    <row r="54" spans="2:24" ht="18" customHeight="1" x14ac:dyDescent="0.25">
      <c r="B54" s="719"/>
      <c r="C54" s="739" t="s">
        <v>116</v>
      </c>
      <c r="D54" s="718"/>
      <c r="E54" s="718"/>
      <c r="F54" s="718"/>
      <c r="G54" s="718"/>
      <c r="H54" s="718"/>
      <c r="I54" s="1843">
        <f>VE_BB_1</f>
        <v>0</v>
      </c>
      <c r="J54" s="1844"/>
      <c r="K54" s="725"/>
      <c r="L54" s="720"/>
      <c r="M54" s="739" t="s">
        <v>116</v>
      </c>
      <c r="N54" s="718"/>
      <c r="O54" s="718"/>
      <c r="P54" s="718"/>
      <c r="Q54" s="718"/>
      <c r="R54" s="718"/>
      <c r="S54" s="1843">
        <f>VE_BB_2</f>
        <v>0</v>
      </c>
      <c r="T54" s="1844"/>
      <c r="U54" s="721"/>
      <c r="W54" s="204"/>
      <c r="X54" s="501"/>
    </row>
    <row r="55" spans="2:24" ht="6" customHeight="1" x14ac:dyDescent="0.25">
      <c r="B55" s="719"/>
      <c r="C55" s="718"/>
      <c r="D55" s="718"/>
      <c r="E55" s="718"/>
      <c r="F55" s="718"/>
      <c r="G55" s="718"/>
      <c r="H55" s="718"/>
      <c r="I55" s="720"/>
      <c r="J55" s="720"/>
      <c r="K55" s="725"/>
      <c r="L55" s="720"/>
      <c r="M55" s="718"/>
      <c r="N55" s="718"/>
      <c r="O55" s="718"/>
      <c r="P55" s="718"/>
      <c r="Q55" s="718"/>
      <c r="R55" s="718"/>
      <c r="S55" s="720"/>
      <c r="T55" s="720"/>
      <c r="U55" s="721"/>
      <c r="W55" s="204"/>
      <c r="X55" s="501"/>
    </row>
    <row r="56" spans="2:24" ht="18" customHeight="1" x14ac:dyDescent="0.25">
      <c r="B56" s="719"/>
      <c r="C56" s="718" t="s">
        <v>781</v>
      </c>
      <c r="D56" s="718"/>
      <c r="E56" s="718"/>
      <c r="F56" s="718"/>
      <c r="G56" s="718"/>
      <c r="H56" s="718"/>
      <c r="I56" s="1783">
        <f>'C ▪ Ergebnisjustierung'!N98</f>
        <v>0</v>
      </c>
      <c r="J56" s="1763"/>
      <c r="K56" s="725"/>
      <c r="L56" s="720"/>
      <c r="M56" s="718" t="s">
        <v>781</v>
      </c>
      <c r="N56" s="718"/>
      <c r="O56" s="718"/>
      <c r="P56" s="718"/>
      <c r="Q56" s="718"/>
      <c r="R56" s="718"/>
      <c r="S56" s="1783">
        <f>'C ▪ Ergebnisjustierung'!R98</f>
        <v>0</v>
      </c>
      <c r="T56" s="1763"/>
      <c r="U56" s="721"/>
      <c r="W56" s="204"/>
      <c r="X56" s="501"/>
    </row>
    <row r="57" spans="2:24" ht="6" customHeight="1" x14ac:dyDescent="0.25">
      <c r="B57" s="719"/>
      <c r="C57" s="718"/>
      <c r="D57" s="718"/>
      <c r="E57" s="718"/>
      <c r="F57" s="718"/>
      <c r="G57" s="718"/>
      <c r="H57" s="718"/>
      <c r="I57" s="720"/>
      <c r="J57" s="720"/>
      <c r="K57" s="725"/>
      <c r="L57" s="720"/>
      <c r="M57" s="718"/>
      <c r="N57" s="718"/>
      <c r="O57" s="718"/>
      <c r="P57" s="718"/>
      <c r="Q57" s="718"/>
      <c r="R57" s="718"/>
      <c r="S57" s="720"/>
      <c r="T57" s="720"/>
      <c r="U57" s="721"/>
      <c r="W57" s="204"/>
      <c r="X57" s="501"/>
    </row>
    <row r="58" spans="2:24" ht="18" customHeight="1" x14ac:dyDescent="0.25">
      <c r="B58" s="719"/>
      <c r="C58" s="718" t="s">
        <v>680</v>
      </c>
      <c r="D58" s="718"/>
      <c r="E58" s="718"/>
      <c r="F58" s="718"/>
      <c r="G58" s="718"/>
      <c r="H58" s="718"/>
      <c r="I58" s="1783">
        <f>'C ▪ Ergebnisjustierung'!N94</f>
        <v>0</v>
      </c>
      <c r="J58" s="1763"/>
      <c r="K58" s="725"/>
      <c r="L58" s="720"/>
      <c r="M58" s="718" t="s">
        <v>680</v>
      </c>
      <c r="N58" s="718"/>
      <c r="O58" s="718"/>
      <c r="P58" s="718"/>
      <c r="Q58" s="718"/>
      <c r="R58" s="718"/>
      <c r="S58" s="1783">
        <f>'C ▪ Ergebnisjustierung'!R94</f>
        <v>0</v>
      </c>
      <c r="T58" s="1763"/>
      <c r="U58" s="721"/>
      <c r="W58" s="204"/>
      <c r="X58" s="501"/>
    </row>
    <row r="59" spans="2:24" ht="18" customHeight="1" x14ac:dyDescent="0.25">
      <c r="B59" s="719"/>
      <c r="C59" s="738"/>
      <c r="D59" s="720"/>
      <c r="E59" s="720"/>
      <c r="F59" s="720"/>
      <c r="G59" s="720"/>
      <c r="H59" s="720"/>
      <c r="I59" s="720"/>
      <c r="J59" s="720"/>
      <c r="K59" s="725"/>
      <c r="L59" s="720"/>
      <c r="M59" s="720"/>
      <c r="N59" s="720"/>
      <c r="O59" s="720"/>
      <c r="P59" s="720"/>
      <c r="Q59" s="720"/>
      <c r="R59" s="720"/>
      <c r="S59" s="720"/>
      <c r="T59" s="720"/>
      <c r="U59" s="721"/>
      <c r="W59" s="204"/>
      <c r="X59" s="501"/>
    </row>
    <row r="60" spans="2:24" ht="21" customHeight="1" x14ac:dyDescent="0.25">
      <c r="B60" s="719"/>
      <c r="C60" s="1794" t="s">
        <v>669</v>
      </c>
      <c r="D60" s="1794"/>
      <c r="E60" s="769" t="s">
        <v>668</v>
      </c>
      <c r="F60" s="770"/>
      <c r="G60" s="771"/>
      <c r="H60" s="772" t="s">
        <v>15</v>
      </c>
      <c r="I60" s="773"/>
      <c r="J60" s="774"/>
      <c r="K60" s="724"/>
      <c r="L60" s="718"/>
      <c r="M60" s="1794" t="s">
        <v>669</v>
      </c>
      <c r="N60" s="1794"/>
      <c r="O60" s="769" t="s">
        <v>668</v>
      </c>
      <c r="P60" s="770"/>
      <c r="Q60" s="771"/>
      <c r="R60" s="772" t="s">
        <v>15</v>
      </c>
      <c r="S60" s="773"/>
      <c r="T60" s="774"/>
      <c r="U60" s="721"/>
      <c r="W60" s="204"/>
      <c r="X60" s="501"/>
    </row>
    <row r="61" spans="2:24" ht="21" customHeight="1" x14ac:dyDescent="0.25">
      <c r="B61" s="719"/>
      <c r="C61" s="1794"/>
      <c r="D61" s="1794"/>
      <c r="E61" s="767" t="s">
        <v>667</v>
      </c>
      <c r="F61" s="775"/>
      <c r="G61" s="776" t="s">
        <v>118</v>
      </c>
      <c r="H61" s="777"/>
      <c r="I61" s="778"/>
      <c r="J61" s="779"/>
      <c r="K61" s="724"/>
      <c r="L61" s="718"/>
      <c r="M61" s="1794"/>
      <c r="N61" s="1794"/>
      <c r="O61" s="767" t="s">
        <v>667</v>
      </c>
      <c r="P61" s="775"/>
      <c r="Q61" s="776" t="s">
        <v>118</v>
      </c>
      <c r="R61" s="777"/>
      <c r="S61" s="778"/>
      <c r="T61" s="779"/>
      <c r="U61" s="721"/>
      <c r="W61" s="204"/>
      <c r="X61" s="501"/>
    </row>
    <row r="62" spans="2:24" ht="21" customHeight="1" x14ac:dyDescent="0.25">
      <c r="B62" s="719"/>
      <c r="C62" s="768" t="s">
        <v>239</v>
      </c>
      <c r="D62" s="766"/>
      <c r="E62" s="767"/>
      <c r="F62" s="780" t="s">
        <v>151</v>
      </c>
      <c r="G62" s="781"/>
      <c r="H62" s="782"/>
      <c r="I62" s="783"/>
      <c r="J62" s="779"/>
      <c r="K62" s="724"/>
      <c r="L62" s="718"/>
      <c r="M62" s="768" t="s">
        <v>239</v>
      </c>
      <c r="N62" s="766"/>
      <c r="O62" s="767"/>
      <c r="P62" s="780" t="s">
        <v>151</v>
      </c>
      <c r="Q62" s="781"/>
      <c r="R62" s="782"/>
      <c r="S62" s="783"/>
      <c r="T62" s="779"/>
      <c r="U62" s="721"/>
      <c r="W62" s="204"/>
      <c r="X62" s="501"/>
    </row>
    <row r="63" spans="2:24" ht="18" customHeight="1" x14ac:dyDescent="0.25">
      <c r="B63" s="719"/>
      <c r="C63" s="789" t="s">
        <v>27</v>
      </c>
      <c r="D63" s="784"/>
      <c r="E63" s="784"/>
      <c r="F63" s="752"/>
      <c r="G63" s="785"/>
      <c r="H63" s="786"/>
      <c r="I63" s="787"/>
      <c r="J63" s="788"/>
      <c r="K63" s="724"/>
      <c r="L63" s="718"/>
      <c r="M63" s="789" t="s">
        <v>27</v>
      </c>
      <c r="N63" s="784"/>
      <c r="O63" s="784"/>
      <c r="P63" s="752"/>
      <c r="Q63" s="785"/>
      <c r="R63" s="786"/>
      <c r="S63" s="787"/>
      <c r="T63" s="788"/>
      <c r="U63" s="721"/>
      <c r="W63" s="204"/>
      <c r="X63" s="501"/>
    </row>
    <row r="64" spans="2:24" ht="18" customHeight="1" x14ac:dyDescent="0.25">
      <c r="B64" s="719"/>
      <c r="C64" s="1791" t="s">
        <v>5</v>
      </c>
      <c r="D64" s="1792"/>
      <c r="E64" s="1793"/>
      <c r="F64" s="1804" t="s">
        <v>153</v>
      </c>
      <c r="G64" s="1805"/>
      <c r="H64" s="797">
        <f>'C ▪ Ergebnisjustierung'!H159</f>
        <v>0</v>
      </c>
      <c r="I64" s="798">
        <f>'C ▪ Ergebnisjustierung'!I159</f>
        <v>0</v>
      </c>
      <c r="J64" s="799">
        <f>'C ▪ Ergebnisjustierung'!J159</f>
        <v>0</v>
      </c>
      <c r="K64" s="724"/>
      <c r="L64" s="718"/>
      <c r="M64" s="1791" t="s">
        <v>5</v>
      </c>
      <c r="N64" s="1792"/>
      <c r="O64" s="1793"/>
      <c r="P64" s="1804" t="s">
        <v>153</v>
      </c>
      <c r="Q64" s="1805"/>
      <c r="R64" s="797">
        <f>'C ▪ Ergebnisjustierung'!R159</f>
        <v>0</v>
      </c>
      <c r="S64" s="798">
        <f>'C ▪ Ergebnisjustierung'!S159</f>
        <v>0</v>
      </c>
      <c r="T64" s="799">
        <f>'C ▪ Ergebnisjustierung'!T159</f>
        <v>0</v>
      </c>
      <c r="U64" s="721"/>
      <c r="W64" s="204"/>
      <c r="X64" s="501"/>
    </row>
    <row r="65" spans="2:24" ht="18" customHeight="1" x14ac:dyDescent="0.25">
      <c r="B65" s="719"/>
      <c r="C65" s="1795" t="s">
        <v>299</v>
      </c>
      <c r="D65" s="1796"/>
      <c r="E65" s="1797"/>
      <c r="F65" s="1806"/>
      <c r="G65" s="1807"/>
      <c r="H65" s="800">
        <f>'C ▪ Ergebnisjustierung'!H160</f>
        <v>0</v>
      </c>
      <c r="I65" s="801">
        <f>'C ▪ Ergebnisjustierung'!I160</f>
        <v>0</v>
      </c>
      <c r="J65" s="802">
        <f>'C ▪ Ergebnisjustierung'!J160</f>
        <v>0</v>
      </c>
      <c r="K65" s="724"/>
      <c r="L65" s="718"/>
      <c r="M65" s="1795" t="s">
        <v>299</v>
      </c>
      <c r="N65" s="1796"/>
      <c r="O65" s="1797"/>
      <c r="P65" s="1806"/>
      <c r="Q65" s="1807"/>
      <c r="R65" s="800">
        <f>'C ▪ Ergebnisjustierung'!R160</f>
        <v>0</v>
      </c>
      <c r="S65" s="801">
        <f>'C ▪ Ergebnisjustierung'!S160</f>
        <v>0</v>
      </c>
      <c r="T65" s="802">
        <f>'C ▪ Ergebnisjustierung'!T160</f>
        <v>0</v>
      </c>
      <c r="U65" s="721"/>
      <c r="W65" s="204"/>
      <c r="X65" s="501"/>
    </row>
    <row r="66" spans="2:24" ht="18" customHeight="1" x14ac:dyDescent="0.25">
      <c r="B66" s="719"/>
      <c r="C66" s="1795" t="s">
        <v>120</v>
      </c>
      <c r="D66" s="1796"/>
      <c r="E66" s="1797"/>
      <c r="F66" s="1806"/>
      <c r="G66" s="1807"/>
      <c r="H66" s="800">
        <f>'C ▪ Ergebnisjustierung'!H161</f>
        <v>0</v>
      </c>
      <c r="I66" s="801">
        <f>'C ▪ Ergebnisjustierung'!I161</f>
        <v>0</v>
      </c>
      <c r="J66" s="802">
        <f>'C ▪ Ergebnisjustierung'!J161</f>
        <v>0</v>
      </c>
      <c r="K66" s="724"/>
      <c r="L66" s="718"/>
      <c r="M66" s="1788" t="s">
        <v>120</v>
      </c>
      <c r="N66" s="1789"/>
      <c r="O66" s="1790"/>
      <c r="P66" s="1806"/>
      <c r="Q66" s="1807"/>
      <c r="R66" s="800">
        <f>'C ▪ Ergebnisjustierung'!R161</f>
        <v>0</v>
      </c>
      <c r="S66" s="801">
        <f>'C ▪ Ergebnisjustierung'!S161</f>
        <v>0</v>
      </c>
      <c r="T66" s="802">
        <f>'C ▪ Ergebnisjustierung'!T161</f>
        <v>0</v>
      </c>
      <c r="U66" s="721"/>
      <c r="W66" s="204"/>
      <c r="X66" s="501"/>
    </row>
    <row r="67" spans="2:24" ht="18" customHeight="1" x14ac:dyDescent="0.25">
      <c r="B67" s="719"/>
      <c r="C67" s="1798" t="s">
        <v>718</v>
      </c>
      <c r="D67" s="1799"/>
      <c r="E67" s="1800"/>
      <c r="F67" s="1808"/>
      <c r="G67" s="1809"/>
      <c r="H67" s="847">
        <f>'C ▪ Ergebnisjustierung'!H162</f>
        <v>0</v>
      </c>
      <c r="I67" s="848">
        <f>'C ▪ Ergebnisjustierung'!I162</f>
        <v>0</v>
      </c>
      <c r="J67" s="849">
        <f>'C ▪ Ergebnisjustierung'!J162</f>
        <v>0</v>
      </c>
      <c r="K67" s="724"/>
      <c r="L67" s="718"/>
      <c r="M67" s="1801" t="s">
        <v>718</v>
      </c>
      <c r="N67" s="1802"/>
      <c r="O67" s="1803"/>
      <c r="P67" s="1808"/>
      <c r="Q67" s="1809"/>
      <c r="R67" s="847">
        <f>'C ▪ Ergebnisjustierung'!R162</f>
        <v>0</v>
      </c>
      <c r="S67" s="848">
        <f>'C ▪ Ergebnisjustierung'!S162</f>
        <v>0</v>
      </c>
      <c r="T67" s="849">
        <f>'C ▪ Ergebnisjustierung'!T162</f>
        <v>0</v>
      </c>
      <c r="U67" s="721"/>
      <c r="W67" s="204"/>
      <c r="X67" s="501"/>
    </row>
    <row r="68" spans="2:24" ht="18" customHeight="1" thickBot="1" x14ac:dyDescent="0.3">
      <c r="B68" s="719"/>
      <c r="C68" s="1847" t="s">
        <v>228</v>
      </c>
      <c r="D68" s="1847"/>
      <c r="E68" s="1847"/>
      <c r="F68" s="1847"/>
      <c r="G68" s="1848"/>
      <c r="H68" s="740" t="s">
        <v>105</v>
      </c>
      <c r="I68" s="892">
        <f>'C ▪ Ergebnisjustierung'!I163</f>
        <v>0</v>
      </c>
      <c r="J68" s="893" t="s">
        <v>105</v>
      </c>
      <c r="K68" s="724"/>
      <c r="L68" s="718"/>
      <c r="M68" s="1847" t="s">
        <v>228</v>
      </c>
      <c r="N68" s="1847"/>
      <c r="O68" s="1847"/>
      <c r="P68" s="1847"/>
      <c r="Q68" s="1848"/>
      <c r="R68" s="740" t="s">
        <v>105</v>
      </c>
      <c r="S68" s="892">
        <f>'C ▪ Ergebnisjustierung'!S163</f>
        <v>0</v>
      </c>
      <c r="T68" s="893" t="s">
        <v>105</v>
      </c>
      <c r="U68" s="721"/>
      <c r="W68" s="204"/>
      <c r="X68" s="501"/>
    </row>
    <row r="69" spans="2:24" ht="18" customHeight="1" x14ac:dyDescent="0.25">
      <c r="B69" s="719"/>
      <c r="C69" s="1849" t="s">
        <v>5</v>
      </c>
      <c r="D69" s="1850"/>
      <c r="E69" s="1851"/>
      <c r="F69" s="1823" t="s">
        <v>152</v>
      </c>
      <c r="G69" s="1824"/>
      <c r="H69" s="894">
        <f>'C ▪ Ergebnisjustierung'!H164</f>
        <v>0</v>
      </c>
      <c r="I69" s="1825" t="str">
        <f>"Summe / Anteil gesicherter Stellplätze:" &amp; CHAR(10) &amp; IF(intern!O80=0,0,TEXT(intern!O80,"#.###")) &amp; " / " &amp; IFERROR(ROUND(100*(intern!O80/I54),0),0) &amp; " %"</f>
        <v>Summe / Anteil gesicherter Stellplätze:
0 / 0 %</v>
      </c>
      <c r="J69" s="1825"/>
      <c r="K69" s="724"/>
      <c r="L69" s="718"/>
      <c r="M69" s="1849" t="s">
        <v>5</v>
      </c>
      <c r="N69" s="1850"/>
      <c r="O69" s="1851"/>
      <c r="P69" s="1823" t="s">
        <v>152</v>
      </c>
      <c r="Q69" s="1824"/>
      <c r="R69" s="894">
        <f>'C ▪ Ergebnisjustierung'!R164</f>
        <v>0</v>
      </c>
      <c r="S69" s="1825" t="str">
        <f>"Summe / Anteil gesicherter Stellplätze:" &amp; CHAR(10) &amp; IF(intern!Q80=0,0,TEXT(intern!Q80,"#.###")) &amp; " / " &amp; IFERROR(ROUND(100*(intern!Q80/S54),0),0) &amp; " %"</f>
        <v>Summe / Anteil gesicherter Stellplätze:
0 / 0 %</v>
      </c>
      <c r="T69" s="1825"/>
      <c r="U69" s="721"/>
      <c r="W69" s="204"/>
      <c r="X69" s="501"/>
    </row>
    <row r="70" spans="2:24" ht="18" customHeight="1" x14ac:dyDescent="0.25">
      <c r="B70" s="719"/>
      <c r="C70" s="1788" t="s">
        <v>299</v>
      </c>
      <c r="D70" s="1789"/>
      <c r="E70" s="1790"/>
      <c r="F70" s="1806"/>
      <c r="G70" s="1807"/>
      <c r="H70" s="895">
        <f>'C ▪ Ergebnisjustierung'!H165</f>
        <v>0</v>
      </c>
      <c r="I70" s="1825"/>
      <c r="J70" s="1825"/>
      <c r="K70" s="724"/>
      <c r="L70" s="718"/>
      <c r="M70" s="1788" t="s">
        <v>299</v>
      </c>
      <c r="N70" s="1789"/>
      <c r="O70" s="1790"/>
      <c r="P70" s="1806"/>
      <c r="Q70" s="1807"/>
      <c r="R70" s="895">
        <f>'C ▪ Ergebnisjustierung'!R165</f>
        <v>0</v>
      </c>
      <c r="S70" s="1825"/>
      <c r="T70" s="1825"/>
      <c r="U70" s="721"/>
      <c r="W70" s="204"/>
      <c r="X70" s="501"/>
    </row>
    <row r="71" spans="2:24" ht="18" customHeight="1" x14ac:dyDescent="0.25">
      <c r="B71" s="719"/>
      <c r="C71" s="1791" t="s">
        <v>120</v>
      </c>
      <c r="D71" s="1792"/>
      <c r="E71" s="1793"/>
      <c r="F71" s="1806"/>
      <c r="G71" s="1807"/>
      <c r="H71" s="896">
        <f>'C ▪ Ergebnisjustierung'!H166</f>
        <v>0</v>
      </c>
      <c r="I71" s="1825"/>
      <c r="J71" s="1825"/>
      <c r="K71" s="724"/>
      <c r="L71" s="718"/>
      <c r="M71" s="1791" t="s">
        <v>120</v>
      </c>
      <c r="N71" s="1792"/>
      <c r="O71" s="1793"/>
      <c r="P71" s="1806"/>
      <c r="Q71" s="1807"/>
      <c r="R71" s="896">
        <f>'C ▪ Ergebnisjustierung'!R166</f>
        <v>0</v>
      </c>
      <c r="S71" s="1825"/>
      <c r="T71" s="1825"/>
      <c r="U71" s="721"/>
      <c r="W71" s="204"/>
      <c r="X71" s="501"/>
    </row>
    <row r="72" spans="2:24" ht="18" customHeight="1" x14ac:dyDescent="0.25">
      <c r="B72" s="719"/>
      <c r="C72" s="1798" t="s">
        <v>718</v>
      </c>
      <c r="D72" s="1799"/>
      <c r="E72" s="1800"/>
      <c r="F72" s="1808"/>
      <c r="G72" s="1809"/>
      <c r="H72" s="897">
        <f>'C ▪ Ergebnisjustierung'!H167</f>
        <v>0</v>
      </c>
      <c r="I72" s="1825"/>
      <c r="J72" s="1825"/>
      <c r="K72" s="724"/>
      <c r="L72" s="718"/>
      <c r="M72" s="1798" t="s">
        <v>718</v>
      </c>
      <c r="N72" s="1799"/>
      <c r="O72" s="1800"/>
      <c r="P72" s="1808"/>
      <c r="Q72" s="1809"/>
      <c r="R72" s="897">
        <f>'C ▪ Ergebnisjustierung'!R167</f>
        <v>0</v>
      </c>
      <c r="S72" s="1825"/>
      <c r="T72" s="1825"/>
      <c r="U72" s="721"/>
      <c r="W72" s="204"/>
      <c r="X72" s="501"/>
    </row>
    <row r="73" spans="2:24" ht="18" customHeight="1" x14ac:dyDescent="0.25">
      <c r="B73" s="719"/>
      <c r="C73" s="1759" t="s">
        <v>634</v>
      </c>
      <c r="D73" s="1760"/>
      <c r="E73" s="1760"/>
      <c r="F73" s="1760"/>
      <c r="G73" s="1760"/>
      <c r="H73" s="898">
        <f>'C ▪ Ergebnisjustierung'!H168</f>
        <v>0</v>
      </c>
      <c r="I73" s="1825"/>
      <c r="J73" s="1825"/>
      <c r="K73" s="724"/>
      <c r="L73" s="718"/>
      <c r="M73" s="1759" t="s">
        <v>634</v>
      </c>
      <c r="N73" s="1760"/>
      <c r="O73" s="1760"/>
      <c r="P73" s="1760"/>
      <c r="Q73" s="1760"/>
      <c r="R73" s="898">
        <f>'C ▪ Ergebnisjustierung'!R168</f>
        <v>0</v>
      </c>
      <c r="S73" s="1825"/>
      <c r="T73" s="1825"/>
      <c r="U73" s="721"/>
      <c r="W73" s="204"/>
      <c r="X73" s="501"/>
    </row>
    <row r="74" spans="2:24" ht="24" customHeight="1" x14ac:dyDescent="0.25">
      <c r="B74" s="719"/>
      <c r="C74" s="738"/>
      <c r="D74" s="720"/>
      <c r="E74" s="720"/>
      <c r="F74" s="720"/>
      <c r="G74" s="720"/>
      <c r="H74" s="720"/>
      <c r="I74" s="720"/>
      <c r="J74" s="720"/>
      <c r="K74" s="720"/>
      <c r="L74" s="720"/>
      <c r="M74" s="720"/>
      <c r="N74" s="720"/>
      <c r="O74" s="720"/>
      <c r="P74" s="720"/>
      <c r="Q74" s="720"/>
      <c r="R74" s="720"/>
      <c r="S74" s="720"/>
      <c r="T74" s="720"/>
      <c r="U74" s="721"/>
      <c r="W74" s="204"/>
      <c r="X74" s="501"/>
    </row>
    <row r="75" spans="2:24" ht="18" customHeight="1" x14ac:dyDescent="0.25">
      <c r="B75" s="719"/>
      <c r="C75" s="764" t="s">
        <v>272</v>
      </c>
      <c r="D75" s="720"/>
      <c r="E75" s="720"/>
      <c r="F75" s="720"/>
      <c r="G75" s="720"/>
      <c r="H75" s="720"/>
      <c r="I75" s="720"/>
      <c r="J75" s="720"/>
      <c r="K75" s="720"/>
      <c r="L75" s="720"/>
      <c r="M75" s="720"/>
      <c r="N75" s="720"/>
      <c r="O75" s="720"/>
      <c r="P75" s="720"/>
      <c r="Q75" s="720"/>
      <c r="R75" s="720"/>
      <c r="S75" s="720"/>
      <c r="T75" s="791" t="str">
        <f>IF(VP_0_EAHEUTE=0,"Zur Berechnung fehlt in Teil B eine Eingabe unter ""Ein- und Aussteiger heute"".","Ein- und Aussteiger heute: "&amp;TEXT(VP_0_EAHEUTE,"#.##0"))</f>
        <v>Zur Berechnung fehlt in Teil B eine Eingabe unter "Ein- und Aussteiger heute".</v>
      </c>
      <c r="U75" s="721"/>
      <c r="W75" s="204"/>
      <c r="X75" s="501"/>
    </row>
    <row r="76" spans="2:24" ht="12" customHeight="1" x14ac:dyDescent="0.25">
      <c r="B76" s="719"/>
      <c r="C76" s="738"/>
      <c r="D76" s="720"/>
      <c r="E76" s="720"/>
      <c r="F76" s="720"/>
      <c r="G76" s="720"/>
      <c r="H76" s="720"/>
      <c r="I76" s="720"/>
      <c r="J76" s="720"/>
      <c r="K76" s="720"/>
      <c r="L76" s="720"/>
      <c r="M76" s="720"/>
      <c r="N76" s="720"/>
      <c r="O76" s="720"/>
      <c r="P76" s="720"/>
      <c r="Q76" s="720"/>
      <c r="R76" s="720"/>
      <c r="S76" s="720"/>
      <c r="T76" s="720"/>
      <c r="U76" s="721"/>
      <c r="W76" s="204"/>
      <c r="X76" s="501"/>
    </row>
    <row r="77" spans="2:24" ht="18" customHeight="1" x14ac:dyDescent="0.25">
      <c r="B77" s="719"/>
      <c r="C77" s="718" t="s">
        <v>697</v>
      </c>
      <c r="D77" s="718"/>
      <c r="E77" s="718"/>
      <c r="F77" s="718"/>
      <c r="G77" s="718"/>
      <c r="H77" s="718"/>
      <c r="I77" s="718"/>
      <c r="J77" s="718"/>
      <c r="K77" s="718"/>
      <c r="L77" s="718"/>
      <c r="M77" s="718"/>
      <c r="N77" s="718"/>
      <c r="O77" s="718"/>
      <c r="P77" s="718"/>
      <c r="Q77" s="718"/>
      <c r="R77" s="718"/>
      <c r="S77" s="1845" t="str">
        <f>IF(
VP_0_EAHEUTE=0,"Eingabe fehlt",IF(
OR(VA_BESTANDSEINGABE=1,VA_ZUSAMMEN=1),(intern!M48/(VP_0_EAHEUTE/2)),
((intern!M48+intern!W48)/(VP_0_EAHEUTE/2))))</f>
        <v>Eingabe fehlt</v>
      </c>
      <c r="T77" s="1846"/>
      <c r="U77" s="721"/>
      <c r="W77" s="204"/>
      <c r="X77" s="501"/>
    </row>
    <row r="78" spans="2:24" ht="6" customHeight="1" x14ac:dyDescent="0.25">
      <c r="B78" s="719"/>
      <c r="C78" s="718"/>
      <c r="D78" s="718"/>
      <c r="E78" s="718"/>
      <c r="F78" s="718"/>
      <c r="G78" s="718"/>
      <c r="H78" s="718"/>
      <c r="I78" s="718"/>
      <c r="J78" s="718"/>
      <c r="K78" s="718"/>
      <c r="L78" s="718"/>
      <c r="M78" s="718"/>
      <c r="N78" s="718"/>
      <c r="O78" s="718"/>
      <c r="P78" s="718"/>
      <c r="Q78" s="718"/>
      <c r="R78" s="718"/>
      <c r="S78" s="718"/>
      <c r="T78" s="720"/>
      <c r="U78" s="721"/>
      <c r="W78" s="204"/>
      <c r="X78" s="501"/>
    </row>
    <row r="79" spans="2:24" ht="18" customHeight="1" x14ac:dyDescent="0.25">
      <c r="B79" s="719"/>
      <c r="C79" s="718" t="s">
        <v>698</v>
      </c>
      <c r="D79" s="718"/>
      <c r="E79" s="718"/>
      <c r="F79" s="718"/>
      <c r="G79" s="718"/>
      <c r="H79" s="718"/>
      <c r="I79" s="718"/>
      <c r="J79" s="718"/>
      <c r="K79" s="718"/>
      <c r="L79" s="718"/>
      <c r="M79" s="718"/>
      <c r="N79" s="718"/>
      <c r="O79" s="718"/>
      <c r="P79" s="718"/>
      <c r="Q79" s="718"/>
      <c r="R79" s="718"/>
      <c r="S79" s="1845" t="str">
        <f>IF(
VP_0_EAHEUTE=0,"Eingabe fehlt",IF(
OR(VA_BESTANDSEINGABE=1,VA_ZUSAMMEN=1),(intern!J48/(VP_0_EAHEUTE/2)),
((intern!J48+intern!T48)/(VP_0_EAHEUTE/2))))</f>
        <v>Eingabe fehlt</v>
      </c>
      <c r="T79" s="1846"/>
      <c r="U79" s="721"/>
      <c r="W79" s="204"/>
      <c r="X79" s="501"/>
    </row>
    <row r="80" spans="2:24" ht="6" customHeight="1" x14ac:dyDescent="0.25">
      <c r="B80" s="719"/>
      <c r="C80" s="718"/>
      <c r="D80" s="718"/>
      <c r="E80" s="718"/>
      <c r="F80" s="718"/>
      <c r="G80" s="718"/>
      <c r="H80" s="718"/>
      <c r="I80" s="718"/>
      <c r="J80" s="718"/>
      <c r="K80" s="718"/>
      <c r="L80" s="718"/>
      <c r="M80" s="718"/>
      <c r="N80" s="718"/>
      <c r="O80" s="718"/>
      <c r="P80" s="718"/>
      <c r="Q80" s="718"/>
      <c r="R80" s="718"/>
      <c r="S80" s="718"/>
      <c r="T80" s="720"/>
      <c r="U80" s="721"/>
      <c r="W80" s="204"/>
      <c r="X80" s="501"/>
    </row>
    <row r="81" spans="2:24" ht="18" customHeight="1" x14ac:dyDescent="0.25">
      <c r="B81" s="719"/>
      <c r="C81" s="718" t="s">
        <v>251</v>
      </c>
      <c r="D81" s="718"/>
      <c r="E81" s="718"/>
      <c r="F81" s="718"/>
      <c r="G81" s="718"/>
      <c r="H81" s="718"/>
      <c r="I81" s="718"/>
      <c r="J81" s="718"/>
      <c r="K81" s="718"/>
      <c r="L81" s="718"/>
      <c r="M81" s="718"/>
      <c r="N81" s="718"/>
      <c r="O81" s="718"/>
      <c r="P81" s="718"/>
      <c r="Q81" s="718"/>
      <c r="R81" s="718"/>
      <c r="S81" s="1845" t="str">
        <f>IFERROR(IF(
VP_0_EAHEUTE=0,"Eingabe fehlt",IF(
OR(VA_BESTANDSEINGABE=1,VA_ZUSAMMEN=1),((intern!K48+intern!B173-IF(VA_BESTANDSEINGABE=1,intern!D52,intern!J52))/((VP_0_EAHEUTE*VA_TF)/2)),
((intern!K48+intern!U48+intern!B173-intern!D52-intern!N52)/((VP_0_EAHEUTE*VA_TF)/2)))),
"")</f>
        <v>Eingabe fehlt</v>
      </c>
      <c r="T81" s="1846"/>
      <c r="U81" s="721"/>
      <c r="W81" s="204"/>
      <c r="X81" s="501"/>
    </row>
    <row r="82" spans="2:24" ht="18" customHeight="1" x14ac:dyDescent="0.25">
      <c r="B82" s="719"/>
      <c r="C82" s="765" t="s">
        <v>248</v>
      </c>
      <c r="D82" s="718"/>
      <c r="E82" s="718"/>
      <c r="F82" s="718"/>
      <c r="G82" s="718"/>
      <c r="H82" s="718"/>
      <c r="I82" s="718"/>
      <c r="J82" s="718"/>
      <c r="K82" s="718"/>
      <c r="L82" s="718"/>
      <c r="M82" s="718"/>
      <c r="N82" s="718"/>
      <c r="O82" s="718"/>
      <c r="P82" s="718"/>
      <c r="Q82" s="718"/>
      <c r="R82" s="741"/>
      <c r="S82" s="741"/>
      <c r="T82" s="720"/>
      <c r="U82" s="721"/>
      <c r="W82" s="204"/>
      <c r="X82" s="501"/>
    </row>
    <row r="83" spans="2:24" ht="24" customHeight="1" x14ac:dyDescent="0.25">
      <c r="B83" s="719"/>
      <c r="C83" s="738"/>
      <c r="D83" s="720"/>
      <c r="E83" s="720"/>
      <c r="F83" s="720"/>
      <c r="G83" s="720"/>
      <c r="H83" s="720"/>
      <c r="I83" s="720"/>
      <c r="J83" s="720"/>
      <c r="K83" s="720"/>
      <c r="L83" s="720"/>
      <c r="M83" s="720"/>
      <c r="N83" s="720"/>
      <c r="O83" s="720"/>
      <c r="P83" s="720"/>
      <c r="Q83" s="720"/>
      <c r="R83" s="720"/>
      <c r="S83" s="720"/>
      <c r="T83" s="720"/>
      <c r="U83" s="721"/>
      <c r="W83" s="204"/>
      <c r="X83" s="501"/>
    </row>
    <row r="84" spans="2:24" ht="18" customHeight="1" x14ac:dyDescent="0.25">
      <c r="B84" s="719"/>
      <c r="C84" s="764" t="s">
        <v>699</v>
      </c>
      <c r="D84" s="720"/>
      <c r="E84" s="720"/>
      <c r="F84" s="720"/>
      <c r="G84" s="720"/>
      <c r="H84" s="720"/>
      <c r="I84" s="720"/>
      <c r="J84" s="720"/>
      <c r="K84" s="720"/>
      <c r="L84" s="720"/>
      <c r="M84" s="720"/>
      <c r="N84" s="720"/>
      <c r="O84" s="720"/>
      <c r="P84" s="720"/>
      <c r="Q84" s="720"/>
      <c r="R84" s="720"/>
      <c r="S84" s="720"/>
      <c r="T84" s="720"/>
      <c r="U84" s="721"/>
      <c r="W84" s="204"/>
      <c r="X84" s="501"/>
    </row>
    <row r="85" spans="2:24" ht="12" customHeight="1" x14ac:dyDescent="0.25">
      <c r="B85" s="719"/>
      <c r="C85" s="738"/>
      <c r="D85" s="720"/>
      <c r="E85" s="720"/>
      <c r="F85" s="720"/>
      <c r="G85" s="720"/>
      <c r="H85" s="720"/>
      <c r="I85" s="720"/>
      <c r="J85" s="720"/>
      <c r="K85" s="720"/>
      <c r="L85" s="720"/>
      <c r="M85" s="720"/>
      <c r="N85" s="720"/>
      <c r="O85" s="720"/>
      <c r="P85" s="720"/>
      <c r="Q85" s="720"/>
      <c r="R85" s="720"/>
      <c r="S85" s="720"/>
      <c r="T85" s="720"/>
      <c r="U85" s="721"/>
      <c r="W85" s="204"/>
      <c r="X85" s="501"/>
    </row>
    <row r="86" spans="2:24" ht="18" customHeight="1" x14ac:dyDescent="0.25">
      <c r="B86" s="719"/>
      <c r="C86" s="738"/>
      <c r="D86" s="720"/>
      <c r="E86" s="720"/>
      <c r="F86" s="720"/>
      <c r="G86" s="720"/>
      <c r="H86" s="720"/>
      <c r="I86" s="720"/>
      <c r="J86" s="756" t="s">
        <v>663</v>
      </c>
      <c r="K86" s="1761">
        <f>'D ▪ Kostenanalyse'!S88</f>
        <v>0</v>
      </c>
      <c r="L86" s="1762"/>
      <c r="M86" s="1763"/>
      <c r="N86" s="738"/>
      <c r="O86" s="720"/>
      <c r="P86" s="756" t="s">
        <v>357</v>
      </c>
      <c r="Q86" s="1761" t="str">
        <f>'D ▪ Kostenanalyse'!S89</f>
        <v>–––</v>
      </c>
      <c r="R86" s="1762"/>
      <c r="S86" s="1762"/>
      <c r="T86" s="1763"/>
      <c r="U86" s="721"/>
      <c r="W86" s="204"/>
      <c r="X86" s="501"/>
    </row>
    <row r="87" spans="2:24" ht="15.95" customHeight="1" x14ac:dyDescent="0.25">
      <c r="B87" s="719"/>
      <c r="C87" s="738"/>
      <c r="D87" s="720"/>
      <c r="E87" s="720"/>
      <c r="F87" s="720"/>
      <c r="G87" s="720"/>
      <c r="H87" s="720"/>
      <c r="I87" s="720"/>
      <c r="J87" s="720"/>
      <c r="K87" s="720"/>
      <c r="L87" s="720"/>
      <c r="M87" s="720"/>
      <c r="N87" s="720"/>
      <c r="O87" s="720"/>
      <c r="P87" s="720"/>
      <c r="Q87" s="720"/>
      <c r="R87" s="720"/>
      <c r="S87" s="720"/>
      <c r="T87" s="720"/>
      <c r="U87" s="721"/>
      <c r="W87" s="204"/>
      <c r="X87" s="501"/>
    </row>
    <row r="88" spans="2:24" ht="18" customHeight="1" x14ac:dyDescent="0.25">
      <c r="B88" s="719"/>
      <c r="C88" s="1821" t="str">
        <f>'D ▪ Kostenanalyse'!D96</f>
        <v>Förderung 1 : RiLi ÖPNV-Invest des Landes Brandenburg (Stand 2022)</v>
      </c>
      <c r="D88" s="1821"/>
      <c r="E88" s="1821"/>
      <c r="F88" s="1821"/>
      <c r="G88" s="1821"/>
      <c r="H88" s="1821"/>
      <c r="I88" s="1821"/>
      <c r="J88" s="1822"/>
      <c r="K88" s="1761">
        <f>'D ▪ Kostenanalyse'!S110</f>
        <v>0</v>
      </c>
      <c r="L88" s="1762"/>
      <c r="M88" s="1763"/>
      <c r="N88" s="1835" t="str">
        <f>IFERROR("Summe Förderungen" &amp; CHAR(10) &amp; "(" &amp; ROUNDUP((K88+K90)/K86*100,1) &amp; " % von Herst.kost.)","")</f>
        <v/>
      </c>
      <c r="O88" s="1835"/>
      <c r="P88" s="1836"/>
      <c r="Q88" s="1826">
        <f>IF(AND(K88="",K90=""),"",K88+K90)</f>
        <v>0</v>
      </c>
      <c r="R88" s="1827"/>
      <c r="S88" s="1827"/>
      <c r="T88" s="1828"/>
      <c r="U88" s="721"/>
      <c r="W88" s="204"/>
      <c r="X88" s="501"/>
    </row>
    <row r="89" spans="2:24" ht="6" customHeight="1" x14ac:dyDescent="0.25">
      <c r="B89" s="719"/>
      <c r="C89" s="738"/>
      <c r="D89" s="720"/>
      <c r="E89" s="720"/>
      <c r="F89" s="720"/>
      <c r="G89" s="720"/>
      <c r="H89" s="720"/>
      <c r="I89" s="720"/>
      <c r="J89" s="738"/>
      <c r="K89" s="720"/>
      <c r="L89" s="720"/>
      <c r="M89" s="720"/>
      <c r="N89" s="1835"/>
      <c r="O89" s="1835"/>
      <c r="P89" s="1836"/>
      <c r="Q89" s="1829"/>
      <c r="R89" s="1830"/>
      <c r="S89" s="1830"/>
      <c r="T89" s="1831"/>
      <c r="U89" s="721"/>
      <c r="W89" s="204"/>
      <c r="X89" s="501"/>
    </row>
    <row r="90" spans="2:24" ht="18" customHeight="1" x14ac:dyDescent="0.25">
      <c r="B90" s="719"/>
      <c r="C90" s="1821" t="str">
        <f>'D ▪ Kostenanalyse'!D112</f>
        <v>Förderung 2   (hier ggf. Name des Programms / der Förderung ergänzen)</v>
      </c>
      <c r="D90" s="1821"/>
      <c r="E90" s="1821"/>
      <c r="F90" s="1821"/>
      <c r="G90" s="1821"/>
      <c r="H90" s="1821"/>
      <c r="I90" s="1821"/>
      <c r="J90" s="1822"/>
      <c r="K90" s="1761">
        <f>'D ▪ Kostenanalyse'!S112</f>
        <v>0</v>
      </c>
      <c r="L90" s="1762"/>
      <c r="M90" s="1763"/>
      <c r="N90" s="1835"/>
      <c r="O90" s="1835"/>
      <c r="P90" s="1836"/>
      <c r="Q90" s="1832"/>
      <c r="R90" s="1833"/>
      <c r="S90" s="1833"/>
      <c r="T90" s="1834"/>
      <c r="U90" s="721"/>
      <c r="W90" s="204"/>
      <c r="X90" s="501"/>
    </row>
    <row r="91" spans="2:24" ht="6" customHeight="1" x14ac:dyDescent="0.25">
      <c r="B91" s="719"/>
      <c r="C91" s="738"/>
      <c r="D91" s="720"/>
      <c r="E91" s="720"/>
      <c r="F91" s="720"/>
      <c r="G91" s="720"/>
      <c r="H91" s="720"/>
      <c r="I91" s="720"/>
      <c r="J91" s="720"/>
      <c r="K91" s="720"/>
      <c r="L91" s="720"/>
      <c r="M91" s="720"/>
      <c r="N91" s="720"/>
      <c r="O91" s="720"/>
      <c r="P91" s="720"/>
      <c r="Q91" s="720"/>
      <c r="R91" s="720"/>
      <c r="S91" s="720"/>
      <c r="T91" s="720"/>
      <c r="U91" s="721"/>
      <c r="W91" s="204"/>
      <c r="X91" s="501"/>
    </row>
    <row r="92" spans="2:24" ht="18" customHeight="1" x14ac:dyDescent="0.3">
      <c r="B92" s="719"/>
      <c r="D92" s="754"/>
      <c r="E92" s="754"/>
      <c r="F92" s="754"/>
      <c r="G92" s="749"/>
      <c r="I92" s="754"/>
      <c r="J92" s="754"/>
      <c r="K92" s="754"/>
      <c r="L92" s="749"/>
      <c r="N92" s="754"/>
      <c r="O92" s="754"/>
      <c r="P92" s="756" t="s">
        <v>658</v>
      </c>
      <c r="Q92" s="1764">
        <f>'D ▪ Kostenanalyse'!S119</f>
        <v>0</v>
      </c>
      <c r="R92" s="1765"/>
      <c r="S92" s="1765"/>
      <c r="T92" s="1766"/>
      <c r="U92" s="721"/>
      <c r="W92" s="204"/>
      <c r="X92" s="501"/>
    </row>
    <row r="93" spans="2:24" ht="15.95" customHeight="1" x14ac:dyDescent="0.25">
      <c r="B93" s="719"/>
      <c r="D93" s="720"/>
      <c r="E93" s="720"/>
      <c r="F93" s="720"/>
      <c r="G93" s="720"/>
      <c r="H93" s="720"/>
      <c r="I93" s="720"/>
      <c r="J93" s="720"/>
      <c r="K93" s="720"/>
      <c r="L93" s="720"/>
      <c r="M93" s="720"/>
      <c r="N93" s="720"/>
      <c r="O93" s="720"/>
      <c r="Q93" s="720"/>
      <c r="R93" s="720"/>
      <c r="S93" s="720"/>
      <c r="T93" s="720"/>
      <c r="U93" s="721"/>
      <c r="W93" s="204"/>
      <c r="X93" s="501"/>
    </row>
    <row r="94" spans="2:24" ht="18" customHeight="1" x14ac:dyDescent="0.25">
      <c r="B94" s="719"/>
      <c r="D94" s="720"/>
      <c r="E94" s="720"/>
      <c r="F94" s="720"/>
      <c r="G94" s="720"/>
      <c r="H94" s="720"/>
      <c r="I94" s="720"/>
      <c r="J94" s="720"/>
      <c r="K94" s="720"/>
      <c r="L94" s="720"/>
      <c r="M94" s="720"/>
      <c r="N94" s="720"/>
      <c r="O94" s="720"/>
      <c r="P94" s="756" t="str">
        <f>"Investitionsbeiträge Dritter (eigenmittelähnlich / " &amp; IFERROR(ROUND((Q94/K86)*100,1) &amp; " % von Herstellungskosten)","")</f>
        <v xml:space="preserve">Investitionsbeiträge Dritter (eigenmittelähnlich / </v>
      </c>
      <c r="Q94" s="1761">
        <f>'D ▪ Kostenanalyse'!S120</f>
        <v>0</v>
      </c>
      <c r="R94" s="1762"/>
      <c r="S94" s="1762"/>
      <c r="T94" s="1763"/>
      <c r="U94" s="721"/>
      <c r="W94" s="204"/>
      <c r="X94" s="501"/>
    </row>
    <row r="95" spans="2:24" ht="6" customHeight="1" x14ac:dyDescent="0.25">
      <c r="B95" s="719"/>
      <c r="D95" s="720"/>
      <c r="E95" s="720"/>
      <c r="F95" s="720"/>
      <c r="G95" s="720"/>
      <c r="H95" s="720"/>
      <c r="I95" s="720"/>
      <c r="J95" s="720"/>
      <c r="K95" s="720"/>
      <c r="L95" s="720"/>
      <c r="M95" s="720"/>
      <c r="N95" s="720"/>
      <c r="O95" s="720"/>
      <c r="Q95" s="720"/>
      <c r="R95" s="720"/>
      <c r="S95" s="720"/>
      <c r="T95" s="720"/>
      <c r="U95" s="721"/>
      <c r="W95" s="204"/>
      <c r="X95" s="501"/>
    </row>
    <row r="96" spans="2:24" ht="18" customHeight="1" x14ac:dyDescent="0.25">
      <c r="B96" s="719"/>
      <c r="D96" s="720"/>
      <c r="E96" s="720"/>
      <c r="F96" s="720"/>
      <c r="G96" s="720"/>
      <c r="H96" s="720"/>
      <c r="I96" s="720"/>
      <c r="J96" s="720"/>
      <c r="K96" s="720"/>
      <c r="L96" s="720"/>
      <c r="M96" s="720"/>
      <c r="N96" s="720"/>
      <c r="O96" s="720"/>
      <c r="P96" s="756" t="str">
        <f>"Verbleibender kommunaler Eigenanteil" &amp; IFERROR(" (" &amp; ROUND((Q96/K86)*100,1) &amp; " % von Herstellungskosten)","")</f>
        <v>Verbleibender kommunaler Eigenanteil</v>
      </c>
      <c r="Q96" s="1761">
        <f>'D ▪ Kostenanalyse'!S121</f>
        <v>0</v>
      </c>
      <c r="R96" s="1762"/>
      <c r="S96" s="1762"/>
      <c r="T96" s="1763"/>
      <c r="U96" s="721"/>
      <c r="W96" s="204"/>
      <c r="X96" s="501"/>
    </row>
    <row r="97" spans="2:26" ht="6" customHeight="1" x14ac:dyDescent="0.25">
      <c r="B97" s="719"/>
      <c r="D97" s="720"/>
      <c r="E97" s="720"/>
      <c r="F97" s="720"/>
      <c r="G97" s="720"/>
      <c r="H97" s="720"/>
      <c r="I97" s="720"/>
      <c r="J97" s="720"/>
      <c r="K97" s="720"/>
      <c r="L97" s="720"/>
      <c r="M97" s="720"/>
      <c r="N97" s="720"/>
      <c r="O97" s="720"/>
      <c r="Q97" s="720"/>
      <c r="R97" s="720"/>
      <c r="S97" s="720"/>
      <c r="T97" s="720"/>
      <c r="U97" s="721"/>
      <c r="W97" s="204"/>
      <c r="X97" s="501"/>
    </row>
    <row r="98" spans="2:26" ht="18" customHeight="1" x14ac:dyDescent="0.25">
      <c r="B98" s="719"/>
      <c r="D98" s="720"/>
      <c r="E98" s="720"/>
      <c r="F98" s="720"/>
      <c r="G98" s="720"/>
      <c r="H98" s="720"/>
      <c r="I98" s="720"/>
      <c r="J98" s="720"/>
      <c r="K98" s="720"/>
      <c r="L98" s="720"/>
      <c r="M98" s="720"/>
      <c r="N98" s="720"/>
      <c r="O98" s="720"/>
      <c r="P98" s="757" t="s">
        <v>664</v>
      </c>
      <c r="Q98" s="1761">
        <f>'D ▪ Kostenanalyse'!S123</f>
        <v>0</v>
      </c>
      <c r="R98" s="1762"/>
      <c r="S98" s="1762"/>
      <c r="T98" s="1763"/>
      <c r="U98" s="721"/>
      <c r="W98" s="204"/>
      <c r="X98" s="501"/>
    </row>
    <row r="99" spans="2:26" ht="15.95" customHeight="1" x14ac:dyDescent="0.25">
      <c r="B99" s="719"/>
      <c r="C99" s="751"/>
      <c r="D99" s="752"/>
      <c r="E99" s="752"/>
      <c r="F99" s="752"/>
      <c r="G99" s="752"/>
      <c r="H99" s="752"/>
      <c r="I99" s="752"/>
      <c r="J99" s="752"/>
      <c r="K99" s="752"/>
      <c r="L99" s="752"/>
      <c r="M99" s="752"/>
      <c r="N99" s="752"/>
      <c r="O99" s="752"/>
      <c r="P99" s="752"/>
      <c r="Q99" s="752"/>
      <c r="R99" s="752"/>
      <c r="S99" s="752"/>
      <c r="T99" s="752"/>
      <c r="U99" s="721"/>
      <c r="W99" s="204"/>
      <c r="X99" s="501"/>
    </row>
    <row r="100" spans="2:26" ht="15.95" customHeight="1" x14ac:dyDescent="0.2">
      <c r="B100" s="719"/>
      <c r="C100" s="738"/>
      <c r="D100" s="720"/>
      <c r="E100" s="720"/>
      <c r="F100" s="720"/>
      <c r="G100" s="720"/>
      <c r="H100" s="720"/>
      <c r="I100" s="720"/>
      <c r="J100" s="720"/>
      <c r="K100" s="827"/>
      <c r="L100" s="827"/>
      <c r="M100" s="720"/>
      <c r="N100" s="720"/>
      <c r="O100" s="720"/>
      <c r="P100" s="720"/>
      <c r="Q100" s="720"/>
      <c r="R100" s="720"/>
      <c r="S100" s="720"/>
      <c r="T100" s="720"/>
      <c r="U100" s="721"/>
      <c r="W100" s="204"/>
      <c r="X100" s="501"/>
    </row>
    <row r="101" spans="2:26" ht="18" customHeight="1" x14ac:dyDescent="0.2">
      <c r="B101" s="719"/>
      <c r="C101" s="1767" t="s">
        <v>702</v>
      </c>
      <c r="D101" s="1767"/>
      <c r="E101" s="1767"/>
      <c r="F101" s="1768"/>
      <c r="G101" s="1756" t="s">
        <v>659</v>
      </c>
      <c r="H101" s="1757"/>
      <c r="I101" s="1757"/>
      <c r="J101" s="1758"/>
      <c r="K101" s="828"/>
      <c r="L101" s="1756" t="s">
        <v>660</v>
      </c>
      <c r="M101" s="1757"/>
      <c r="N101" s="1757"/>
      <c r="O101" s="1758"/>
      <c r="P101" s="832"/>
      <c r="Q101" s="1747" t="str">
        <f>IFERROR(L103/G103,"")</f>
        <v/>
      </c>
      <c r="R101" s="1748"/>
      <c r="S101" s="1837" t="s">
        <v>705</v>
      </c>
      <c r="T101" s="1838"/>
      <c r="U101" s="721"/>
      <c r="W101" s="204"/>
      <c r="X101" s="501"/>
    </row>
    <row r="102" spans="2:26" ht="6" customHeight="1" x14ac:dyDescent="0.25">
      <c r="B102" s="719"/>
      <c r="C102" s="1767"/>
      <c r="D102" s="1767"/>
      <c r="E102" s="1767"/>
      <c r="F102" s="1768"/>
      <c r="G102" s="830"/>
      <c r="H102" s="720"/>
      <c r="I102" s="720"/>
      <c r="J102" s="753"/>
      <c r="K102" s="718"/>
      <c r="L102" s="831"/>
      <c r="M102" s="720"/>
      <c r="N102" s="720"/>
      <c r="O102" s="753"/>
      <c r="P102" s="832"/>
      <c r="Q102" s="1749"/>
      <c r="R102" s="1750"/>
      <c r="S102" s="1839"/>
      <c r="T102" s="1840"/>
      <c r="U102" s="721"/>
      <c r="W102" s="204"/>
      <c r="X102" s="501"/>
    </row>
    <row r="103" spans="2:26" ht="18" customHeight="1" x14ac:dyDescent="0.25">
      <c r="B103" s="719"/>
      <c r="C103" s="1767"/>
      <c r="D103" s="1767"/>
      <c r="E103" s="1767"/>
      <c r="F103" s="1768"/>
      <c r="G103" s="1753">
        <f>'D ▪ Kostenanalyse'!S149</f>
        <v>0</v>
      </c>
      <c r="H103" s="1754"/>
      <c r="I103" s="1754"/>
      <c r="J103" s="1755"/>
      <c r="L103" s="1753">
        <f>'D ▪ Kostenanalyse'!S166</f>
        <v>0</v>
      </c>
      <c r="M103" s="1754"/>
      <c r="N103" s="1754"/>
      <c r="O103" s="1755"/>
      <c r="P103" s="832"/>
      <c r="Q103" s="1751"/>
      <c r="R103" s="1752"/>
      <c r="S103" s="1841"/>
      <c r="T103" s="1842"/>
      <c r="U103" s="721"/>
      <c r="W103" s="204"/>
      <c r="X103" s="501"/>
    </row>
    <row r="104" spans="2:26" ht="15.95" customHeight="1" x14ac:dyDescent="0.25">
      <c r="B104" s="719"/>
      <c r="C104" s="751"/>
      <c r="D104" s="752"/>
      <c r="E104" s="752"/>
      <c r="F104" s="752"/>
      <c r="G104" s="752"/>
      <c r="H104" s="752"/>
      <c r="I104" s="752"/>
      <c r="J104" s="752"/>
      <c r="K104" s="752"/>
      <c r="L104" s="752"/>
      <c r="M104" s="752"/>
      <c r="N104" s="752"/>
      <c r="O104" s="752"/>
      <c r="P104" s="752"/>
      <c r="Q104" s="752"/>
      <c r="R104" s="752"/>
      <c r="S104" s="752"/>
      <c r="T104" s="752"/>
      <c r="U104" s="721"/>
      <c r="W104" s="204"/>
      <c r="X104" s="501"/>
      <c r="Z104" s="829"/>
    </row>
    <row r="105" spans="2:26" ht="15.95" customHeight="1" x14ac:dyDescent="0.25">
      <c r="B105" s="719"/>
      <c r="C105" s="738"/>
      <c r="D105" s="720"/>
      <c r="E105" s="720"/>
      <c r="F105" s="720"/>
      <c r="G105" s="720"/>
      <c r="H105" s="720"/>
      <c r="I105" s="720"/>
      <c r="J105" s="720"/>
      <c r="K105" s="720"/>
      <c r="L105" s="720"/>
      <c r="M105" s="720"/>
      <c r="N105" s="720"/>
      <c r="O105" s="720"/>
      <c r="P105" s="720"/>
      <c r="Q105" s="720"/>
      <c r="R105" s="720"/>
      <c r="S105" s="720"/>
      <c r="T105" s="720"/>
      <c r="U105" s="721"/>
      <c r="W105" s="204"/>
      <c r="X105" s="501"/>
    </row>
    <row r="106" spans="2:26" ht="18" customHeight="1" x14ac:dyDescent="0.25">
      <c r="B106" s="719"/>
      <c r="C106" s="1745" t="s">
        <v>662</v>
      </c>
      <c r="D106" s="1745"/>
      <c r="E106" s="1745"/>
      <c r="F106" s="1746"/>
      <c r="G106" s="1742" t="s">
        <v>656</v>
      </c>
      <c r="H106" s="1743"/>
      <c r="I106" s="1743"/>
      <c r="J106" s="1744"/>
      <c r="K106" s="747"/>
      <c r="L106" s="1742" t="s">
        <v>661</v>
      </c>
      <c r="M106" s="1743"/>
      <c r="N106" s="1743"/>
      <c r="O106" s="1744"/>
      <c r="P106" s="747"/>
      <c r="Q106" s="1742" t="s">
        <v>657</v>
      </c>
      <c r="R106" s="1743"/>
      <c r="S106" s="1743"/>
      <c r="T106" s="1744"/>
      <c r="U106" s="721"/>
      <c r="W106" s="204"/>
      <c r="X106" s="501"/>
    </row>
    <row r="107" spans="2:26" ht="6" customHeight="1" x14ac:dyDescent="0.25">
      <c r="B107" s="719"/>
      <c r="C107" s="1745"/>
      <c r="D107" s="1745"/>
      <c r="E107" s="1745"/>
      <c r="F107" s="1746"/>
      <c r="G107" s="755"/>
      <c r="H107" s="750"/>
      <c r="I107" s="720"/>
      <c r="J107" s="753"/>
      <c r="K107" s="720"/>
      <c r="L107" s="748"/>
      <c r="M107" s="720"/>
      <c r="N107" s="720"/>
      <c r="O107" s="753"/>
      <c r="P107" s="720"/>
      <c r="Q107" s="748"/>
      <c r="R107" s="720"/>
      <c r="S107" s="720"/>
      <c r="T107" s="753"/>
      <c r="U107" s="721"/>
      <c r="W107" s="204"/>
      <c r="X107" s="501"/>
    </row>
    <row r="108" spans="2:26" ht="18" customHeight="1" x14ac:dyDescent="0.25">
      <c r="B108" s="719"/>
      <c r="C108" s="1745"/>
      <c r="D108" s="1745"/>
      <c r="E108" s="1745"/>
      <c r="F108" s="1746"/>
      <c r="G108" s="1853">
        <f>'D ▪ Kostenanalyse'!S171</f>
        <v>0</v>
      </c>
      <c r="H108" s="1854"/>
      <c r="I108" s="1854"/>
      <c r="J108" s="1855"/>
      <c r="K108" s="720"/>
      <c r="L108" s="1753">
        <f>'D ▪ Kostenanalyse'!S172</f>
        <v>0</v>
      </c>
      <c r="M108" s="1856"/>
      <c r="N108" s="1856"/>
      <c r="O108" s="1857"/>
      <c r="P108" s="747"/>
      <c r="Q108" s="1753" t="str">
        <f>'D ▪ Kostenanalyse'!S173</f>
        <v/>
      </c>
      <c r="R108" s="1856"/>
      <c r="S108" s="1856"/>
      <c r="T108" s="1857"/>
      <c r="U108" s="721"/>
      <c r="W108" s="204"/>
      <c r="X108" s="501"/>
    </row>
    <row r="109" spans="2:26" ht="15.95" customHeight="1" x14ac:dyDescent="0.25">
      <c r="B109" s="719"/>
      <c r="C109" s="836"/>
      <c r="D109" s="836"/>
      <c r="E109" s="836"/>
      <c r="F109" s="836"/>
      <c r="G109" s="837"/>
      <c r="H109" s="838"/>
      <c r="I109" s="838"/>
      <c r="J109" s="838"/>
      <c r="K109" s="752"/>
      <c r="L109" s="839"/>
      <c r="M109" s="840"/>
      <c r="N109" s="840"/>
      <c r="O109" s="840"/>
      <c r="P109" s="771"/>
      <c r="Q109" s="839"/>
      <c r="R109" s="840"/>
      <c r="S109" s="840"/>
      <c r="T109" s="840"/>
      <c r="U109" s="721"/>
      <c r="W109" s="204"/>
      <c r="X109" s="501"/>
    </row>
    <row r="110" spans="2:26" ht="6.95" customHeight="1" x14ac:dyDescent="0.25">
      <c r="B110" s="719"/>
      <c r="C110" s="803"/>
      <c r="D110" s="803"/>
      <c r="E110" s="803"/>
      <c r="F110" s="803"/>
      <c r="G110" s="833"/>
      <c r="H110" s="834"/>
      <c r="I110" s="834"/>
      <c r="J110" s="834"/>
      <c r="L110" s="843"/>
      <c r="M110" s="843"/>
      <c r="N110" s="843"/>
      <c r="O110" s="843"/>
      <c r="P110" s="843"/>
      <c r="Q110" s="843"/>
      <c r="R110" s="835"/>
      <c r="S110" s="835"/>
      <c r="T110" s="835"/>
      <c r="U110" s="721"/>
      <c r="W110" s="204"/>
      <c r="X110" s="501"/>
    </row>
    <row r="111" spans="2:26" ht="6.95" customHeight="1" x14ac:dyDescent="0.25">
      <c r="B111" s="719"/>
      <c r="C111" s="803"/>
      <c r="D111" s="803"/>
      <c r="E111" s="803"/>
      <c r="F111" s="803"/>
      <c r="G111" s="833"/>
      <c r="H111" s="834"/>
      <c r="I111" s="834"/>
      <c r="J111" s="834"/>
      <c r="K111" s="1852" t="s">
        <v>703</v>
      </c>
      <c r="L111" s="1852"/>
      <c r="M111" s="1852"/>
      <c r="N111" s="1852"/>
      <c r="O111" s="1852"/>
      <c r="P111" s="1852"/>
      <c r="Q111" s="1852"/>
      <c r="R111" s="835"/>
      <c r="S111" s="835"/>
      <c r="T111" s="835"/>
      <c r="U111" s="721"/>
      <c r="W111" s="204"/>
      <c r="X111" s="501"/>
    </row>
    <row r="112" spans="2:26" ht="18" customHeight="1" x14ac:dyDescent="0.25">
      <c r="B112" s="719"/>
      <c r="C112" s="842" t="s">
        <v>704</v>
      </c>
      <c r="D112" s="749"/>
      <c r="E112" s="749"/>
      <c r="F112" s="749"/>
      <c r="G112" s="749"/>
      <c r="H112" s="1764" t="str">
        <f>IF(ROUNDUP('D ▪ Kostenanalyse'!S183,0)=0,"",'D ▪ Kostenanalyse'!S183)</f>
        <v/>
      </c>
      <c r="I112" s="1765"/>
      <c r="J112" s="1766"/>
      <c r="K112" s="1852"/>
      <c r="L112" s="1852"/>
      <c r="M112" s="1852"/>
      <c r="N112" s="1852"/>
      <c r="O112" s="1852"/>
      <c r="P112" s="1852"/>
      <c r="Q112" s="1852"/>
      <c r="R112" s="1761" t="str">
        <f>IF(ROUNDUP('D ▪ Kostenanalyse'!S183,0)=0,"",'D ▪ Kostenanalyse'!S184)</f>
        <v/>
      </c>
      <c r="S112" s="1762"/>
      <c r="T112" s="1763"/>
      <c r="U112" s="721"/>
      <c r="W112" s="204"/>
      <c r="X112" s="501"/>
    </row>
    <row r="113" spans="1:24" ht="6.95" customHeight="1" x14ac:dyDescent="0.25">
      <c r="B113" s="657"/>
      <c r="C113" s="226"/>
      <c r="D113" s="226"/>
      <c r="E113" s="226"/>
      <c r="F113" s="226"/>
      <c r="G113" s="226"/>
      <c r="H113" s="226"/>
      <c r="I113" s="226"/>
      <c r="J113" s="226"/>
      <c r="K113" s="1852"/>
      <c r="L113" s="1852"/>
      <c r="M113" s="1852"/>
      <c r="N113" s="1852"/>
      <c r="O113" s="1852"/>
      <c r="P113" s="1852"/>
      <c r="Q113" s="1852"/>
      <c r="R113" s="226"/>
      <c r="S113" s="226"/>
      <c r="T113" s="226"/>
      <c r="U113" s="414"/>
      <c r="W113" s="204"/>
      <c r="X113" s="501"/>
    </row>
    <row r="114" spans="1:24" ht="6.95" customHeight="1" thickBot="1" x14ac:dyDescent="0.3">
      <c r="B114" s="659"/>
      <c r="C114" s="660"/>
      <c r="D114" s="660"/>
      <c r="E114" s="660"/>
      <c r="F114" s="660"/>
      <c r="G114" s="660"/>
      <c r="H114" s="660"/>
      <c r="I114" s="660"/>
      <c r="J114" s="660"/>
      <c r="K114" s="841"/>
      <c r="L114" s="841"/>
      <c r="M114" s="841"/>
      <c r="N114" s="841"/>
      <c r="O114" s="841"/>
      <c r="P114" s="841"/>
      <c r="Q114" s="841"/>
      <c r="R114" s="660"/>
      <c r="S114" s="660"/>
      <c r="T114" s="660"/>
      <c r="U114" s="661"/>
      <c r="W114" s="204"/>
      <c r="X114" s="501"/>
    </row>
    <row r="115" spans="1:24" ht="9.9499999999999993" customHeight="1" x14ac:dyDescent="0.25">
      <c r="W115" s="204"/>
      <c r="X115" s="501"/>
    </row>
    <row r="116" spans="1:24" ht="5.0999999999999996" customHeight="1" x14ac:dyDescent="0.25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501"/>
    </row>
    <row r="117" spans="1:24" ht="45" customHeight="1" x14ac:dyDescent="0.25">
      <c r="A117" s="501"/>
      <c r="B117" s="501"/>
      <c r="C117" s="501"/>
      <c r="D117" s="501"/>
      <c r="E117" s="501"/>
      <c r="F117" s="1014" t="s">
        <v>713</v>
      </c>
      <c r="G117" s="1014"/>
      <c r="H117" s="1014"/>
      <c r="I117" s="1014"/>
      <c r="J117" s="1014"/>
      <c r="K117" s="1014"/>
      <c r="L117" s="1014"/>
      <c r="M117" s="1014"/>
      <c r="N117" s="1014"/>
      <c r="O117" s="1014"/>
      <c r="P117" s="1014"/>
      <c r="Q117" s="1014"/>
      <c r="R117" s="1014"/>
      <c r="S117" s="501"/>
      <c r="T117" s="501"/>
      <c r="U117" s="501"/>
      <c r="V117" s="501"/>
      <c r="W117" s="501"/>
      <c r="X117" s="501"/>
    </row>
    <row r="118" spans="1:24" ht="26.25" customHeight="1" x14ac:dyDescent="0.25">
      <c r="A118" s="502"/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R118" s="502"/>
      <c r="S118" s="502"/>
      <c r="T118" s="502"/>
      <c r="U118" s="502"/>
      <c r="V118" s="502"/>
      <c r="W118" s="502"/>
      <c r="X118" s="502"/>
    </row>
  </sheetData>
  <sheetProtection algorithmName="SHA-512" hashValue="FmaumCHMqV67ngu66+gsPyO80VXKcNT4QYz7WUDBTHGorsSQ8x06HzKPzS+6ofoMFJTjqFFMQZw5TXveiE10ww==" saltValue="ryp9/1guBpijZKez6pVauQ==" spinCount="100000" sheet="1" objects="1" scenarios="1"/>
  <mergeCells count="107">
    <mergeCell ref="F117:R117"/>
    <mergeCell ref="S101:T103"/>
    <mergeCell ref="I54:J54"/>
    <mergeCell ref="I56:J56"/>
    <mergeCell ref="S54:T54"/>
    <mergeCell ref="S56:T56"/>
    <mergeCell ref="S77:T77"/>
    <mergeCell ref="S79:T79"/>
    <mergeCell ref="S81:T81"/>
    <mergeCell ref="M60:N61"/>
    <mergeCell ref="M65:O65"/>
    <mergeCell ref="C68:G68"/>
    <mergeCell ref="M68:Q68"/>
    <mergeCell ref="C69:E69"/>
    <mergeCell ref="M69:O69"/>
    <mergeCell ref="S58:T58"/>
    <mergeCell ref="P64:Q67"/>
    <mergeCell ref="C65:E65"/>
    <mergeCell ref="K111:Q113"/>
    <mergeCell ref="G108:J108"/>
    <mergeCell ref="L108:O108"/>
    <mergeCell ref="Q108:T108"/>
    <mergeCell ref="L106:O106"/>
    <mergeCell ref="Q106:T106"/>
    <mergeCell ref="C37:F39"/>
    <mergeCell ref="M37:N37"/>
    <mergeCell ref="M39:N39"/>
    <mergeCell ref="S37:T37"/>
    <mergeCell ref="S39:T39"/>
    <mergeCell ref="C71:E71"/>
    <mergeCell ref="M71:O71"/>
    <mergeCell ref="Q92:T92"/>
    <mergeCell ref="Q94:T94"/>
    <mergeCell ref="C88:J88"/>
    <mergeCell ref="C90:J90"/>
    <mergeCell ref="K86:M86"/>
    <mergeCell ref="F69:G72"/>
    <mergeCell ref="P69:Q72"/>
    <mergeCell ref="C72:E72"/>
    <mergeCell ref="M72:O72"/>
    <mergeCell ref="I69:J73"/>
    <mergeCell ref="S69:T73"/>
    <mergeCell ref="Q86:T86"/>
    <mergeCell ref="Q88:T90"/>
    <mergeCell ref="N88:P90"/>
    <mergeCell ref="K88:M88"/>
    <mergeCell ref="K90:M90"/>
    <mergeCell ref="C73:G73"/>
    <mergeCell ref="C49:G49"/>
    <mergeCell ref="C50:G50"/>
    <mergeCell ref="M47:Q47"/>
    <mergeCell ref="M48:Q48"/>
    <mergeCell ref="M49:Q49"/>
    <mergeCell ref="M50:Q50"/>
    <mergeCell ref="C45:G45"/>
    <mergeCell ref="C46:G46"/>
    <mergeCell ref="C47:G47"/>
    <mergeCell ref="C48:G48"/>
    <mergeCell ref="C70:E70"/>
    <mergeCell ref="M70:O70"/>
    <mergeCell ref="I58:J58"/>
    <mergeCell ref="C64:E64"/>
    <mergeCell ref="C60:D61"/>
    <mergeCell ref="M66:O66"/>
    <mergeCell ref="C66:E66"/>
    <mergeCell ref="M64:O64"/>
    <mergeCell ref="C67:E67"/>
    <mergeCell ref="M67:O67"/>
    <mergeCell ref="F64:G67"/>
    <mergeCell ref="P31:T31"/>
    <mergeCell ref="A1:B1"/>
    <mergeCell ref="R1:T1"/>
    <mergeCell ref="N8:T8"/>
    <mergeCell ref="N6:T6"/>
    <mergeCell ref="N10:T10"/>
    <mergeCell ref="N12:T12"/>
    <mergeCell ref="N14:T14"/>
    <mergeCell ref="S33:T33"/>
    <mergeCell ref="I33:N33"/>
    <mergeCell ref="G26:T26"/>
    <mergeCell ref="K31:L31"/>
    <mergeCell ref="B17:U17"/>
    <mergeCell ref="G28:T28"/>
    <mergeCell ref="Y1:AA1"/>
    <mergeCell ref="G106:J106"/>
    <mergeCell ref="C106:F108"/>
    <mergeCell ref="Q101:R103"/>
    <mergeCell ref="G103:J103"/>
    <mergeCell ref="G101:J101"/>
    <mergeCell ref="M73:Q73"/>
    <mergeCell ref="R112:T112"/>
    <mergeCell ref="H112:J112"/>
    <mergeCell ref="L101:O101"/>
    <mergeCell ref="L103:O103"/>
    <mergeCell ref="C101:F103"/>
    <mergeCell ref="Q96:T96"/>
    <mergeCell ref="Q98:T98"/>
    <mergeCell ref="M43:T43"/>
    <mergeCell ref="M45:Q45"/>
    <mergeCell ref="M46:Q46"/>
    <mergeCell ref="C43:J43"/>
    <mergeCell ref="I35:T35"/>
    <mergeCell ref="G20:N20"/>
    <mergeCell ref="G22:N22"/>
    <mergeCell ref="S20:T20"/>
    <mergeCell ref="S22:T22"/>
    <mergeCell ref="G24:T24"/>
  </mergeCells>
  <conditionalFormatting sqref="A1:C1">
    <cfRule type="expression" dxfId="8" priority="4">
      <formula>AND(VA_FEHLER_CD=1,VA_KOSTENANALYSE=1)</formula>
    </cfRule>
  </conditionalFormatting>
  <conditionalFormatting sqref="A1:Q1">
    <cfRule type="expression" dxfId="7" priority="3">
      <formula>OR(AND(OR(VA_FEHLER_AB&gt;0,VA_FEHLER_C&gt;0),VA_KOSTENANALYSE&lt;&gt;2),VA_FEHLER_D&gt;0)</formula>
    </cfRule>
  </conditionalFormatting>
  <conditionalFormatting sqref="B17:U17">
    <cfRule type="expression" dxfId="6" priority="10">
      <formula>OR(VA_KOSTENANALYSE=2,VA_FEHLERMODUL=1,VA_FEHLER_AB=1,VA_FEHLER_CD=1,VA_FEHLER_D&gt;0)</formula>
    </cfRule>
  </conditionalFormatting>
  <conditionalFormatting sqref="C20:T113">
    <cfRule type="expression" dxfId="5" priority="9">
      <formula>OR(VA_KOSTENANALYSE=2,VA_FEHLERMODUL=1,VA_FEHLER_AB=1,VA_FEHLER_CD=1,VA_FEHLER_D&gt;0)</formula>
    </cfRule>
  </conditionalFormatting>
  <conditionalFormatting sqref="M43 P62 R64:R67 R69:R73">
    <cfRule type="expression" dxfId="4" priority="14">
      <formula>OR(VA_BESTANDSEINGABE=1,VA_ZUSAMMEN=1)</formula>
    </cfRule>
  </conditionalFormatting>
  <conditionalFormatting sqref="M45:T49 M51 M54:T58 M60:O67 P64 M68 R68 T68 M69:P69 S69 M70:O72 M73:Q73">
    <cfRule type="expression" dxfId="3" priority="15">
      <formula>OR(VA_BESTANDSEINGABE=1,VA_ZUSAMMEN=1)</formula>
    </cfRule>
  </conditionalFormatting>
  <conditionalFormatting sqref="M50:T50 Q61 S64:S68">
    <cfRule type="expression" dxfId="2" priority="13">
      <formula>OR(VA_BESTANDSEINGABE=1,VA_ZUSAMMEN=1)</formula>
    </cfRule>
  </conditionalFormatting>
  <conditionalFormatting sqref="R60 T64:T67">
    <cfRule type="expression" dxfId="1" priority="12">
      <formula>OR(VA_BESTANDSEINGABE=1,VA_ZUSAMMEN=1)</formula>
    </cfRule>
  </conditionalFormatting>
  <conditionalFormatting sqref="Y1">
    <cfRule type="expression" dxfId="0" priority="1">
      <formula>V_ARBEIT=0</formula>
    </cfRule>
  </conditionalFormatting>
  <dataValidations count="2">
    <dataValidation type="textLength" allowBlank="1" showInputMessage="1" showErrorMessage="1" errorTitle="Eingabefehler" error="Es sind maximal 60 Zeichen (inkl. Leerzeichen) erlaubt." sqref="N6:T6 N8:T8 N10:T10 N12:T12 N14:T14" xr:uid="{B0903510-9905-4B91-9605-F390FAB1BA08}">
      <formula1>0</formula1>
      <formula2>60</formula2>
    </dataValidation>
    <dataValidation type="whole" operator="greaterThanOrEqual" allowBlank="1" showErrorMessage="1" errorTitle="Eingabefehler" error="Nur ganze, positive Zahlen sowie 0 erlaubt." sqref="H64:H67 J64:J67 H69:H73 I64:I68 S64:S68 T64:T67 R64:R67 R69:R73" xr:uid="{AD806ABB-1928-4481-B807-E1368FD1928F}">
      <formula1>0</formula1>
    </dataValidation>
  </dataValidations>
  <printOptions verticalCentered="1"/>
  <pageMargins left="0.70866141732283472" right="0.70866141732283472" top="0.98425196850393704" bottom="0.78740157480314965" header="0.39370078740157483" footer="0.27559055118110237"/>
  <pageSetup paperSize="9" scale="49" orientation="portrait" errors="blank" r:id="rId1"/>
  <headerFooter scaleWithDoc="0">
    <oddHeader>&amp;L&amp;13Kurzbericht
&amp;10Bedarfs- und Kostenermittlung für B+R-Anlagen an Bahnhöfen&amp;R&amp;G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colBreaks count="1" manualBreakCount="1">
    <brk id="2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BBC58-3AD1-421D-8006-E0D65D54E178}">
  <sheetPr published="0" codeName="Sheet6">
    <tabColor theme="4"/>
    <outlinePr summaryBelow="0" summaryRight="0"/>
    <pageSetUpPr autoPageBreaks="0"/>
  </sheetPr>
  <dimension ref="A1:AC355"/>
  <sheetViews>
    <sheetView zoomScaleNormal="100" workbookViewId="0">
      <pane ySplit="2" topLeftCell="A3" activePane="bottomLeft" state="frozen"/>
      <selection pane="bottomLeft" activeCell="A3" sqref="A3"/>
    </sheetView>
  </sheetViews>
  <sheetFormatPr defaultColWidth="9.7109375" defaultRowHeight="18" customHeight="1" x14ac:dyDescent="0.25"/>
  <cols>
    <col min="1" max="1" width="4.7109375" style="1" customWidth="1"/>
    <col min="2" max="16384" width="9.7109375" style="2"/>
  </cols>
  <sheetData>
    <row r="1" spans="1:22" s="4" customFormat="1" ht="32.1" customHeight="1" x14ac:dyDescent="0.25">
      <c r="A1" s="8"/>
      <c r="B1" s="14" t="s">
        <v>9</v>
      </c>
    </row>
    <row r="2" spans="1:22" s="5" customFormat="1" ht="3.95" customHeight="1" x14ac:dyDescent="0.25"/>
    <row r="3" spans="1:22" s="4" customFormat="1" ht="18" customHeight="1" x14ac:dyDescent="0.25">
      <c r="A3" s="8"/>
      <c r="B3" s="66" t="s">
        <v>450</v>
      </c>
    </row>
    <row r="5" spans="1:22" ht="18" customHeight="1" x14ac:dyDescent="0.25">
      <c r="B5" s="1972" t="s">
        <v>37</v>
      </c>
      <c r="C5" s="1972"/>
      <c r="D5" s="1985" t="s">
        <v>1</v>
      </c>
      <c r="E5" s="1985"/>
      <c r="F5" s="1986" t="s">
        <v>618</v>
      </c>
      <c r="G5" s="1986"/>
      <c r="H5" s="1987" t="s">
        <v>2</v>
      </c>
      <c r="I5" s="1987"/>
      <c r="J5" s="1988" t="s">
        <v>0</v>
      </c>
      <c r="K5" s="1988"/>
      <c r="M5" s="1973" t="s">
        <v>129</v>
      </c>
      <c r="N5" s="1973"/>
      <c r="P5" s="1984" t="s">
        <v>130</v>
      </c>
      <c r="Q5" s="1984"/>
      <c r="T5" s="662" t="s">
        <v>628</v>
      </c>
      <c r="U5" s="1930" t="str">
        <f>TRIM(MID('Startseite und Basisinfos'!C66,SEARCH("Versionsnummer",'Startseite und Basisinfos'!C66)+14,(FIND("(",'Startseite und Basisinfos'!C66)-(SEARCH("Versionsnummer",'Startseite und Basisinfos'!C66)+14))))</f>
        <v>3.3</v>
      </c>
      <c r="V5" s="1931"/>
    </row>
    <row r="6" spans="1:22" ht="18" customHeight="1" thickBot="1" x14ac:dyDescent="0.3">
      <c r="T6" s="662" t="s">
        <v>627</v>
      </c>
      <c r="U6" s="1930" t="str">
        <f>TRIM(MID('Startseite und Basisinfos'!C66,SEARCH("Stand",'Startseite und Basisinfos'!C66)+5,(FIND(")",'Startseite und Basisinfos'!C66)-(SEARCH("Stand",'Startseite und Basisinfos'!C66)+5))))</f>
        <v>28.04.2023</v>
      </c>
      <c r="V6" s="1931"/>
    </row>
    <row r="7" spans="1:22" ht="18" customHeight="1" x14ac:dyDescent="0.25">
      <c r="B7" s="28" t="s">
        <v>41</v>
      </c>
      <c r="C7" s="29"/>
      <c r="D7" s="1960" t="s">
        <v>3</v>
      </c>
      <c r="E7" s="1958"/>
      <c r="F7" s="1960" t="s">
        <v>7</v>
      </c>
      <c r="G7" s="1958"/>
      <c r="H7" s="1956" t="s">
        <v>754</v>
      </c>
      <c r="I7" s="1957"/>
      <c r="J7" s="1958" t="s">
        <v>3</v>
      </c>
      <c r="K7" s="1959"/>
      <c r="L7" s="1960" t="s">
        <v>7</v>
      </c>
      <c r="M7" s="1959"/>
      <c r="N7" s="1982" t="s">
        <v>754</v>
      </c>
      <c r="O7" s="1983"/>
      <c r="T7" s="901" t="s">
        <v>801</v>
      </c>
      <c r="U7" s="1989">
        <v>0</v>
      </c>
      <c r="V7" s="1989"/>
    </row>
    <row r="8" spans="1:22" ht="18" customHeight="1" thickBot="1" x14ac:dyDescent="0.3">
      <c r="B8" s="16" t="s">
        <v>21</v>
      </c>
      <c r="C8" s="17"/>
      <c r="D8" s="18" t="s">
        <v>35</v>
      </c>
      <c r="E8" s="19" t="s">
        <v>19</v>
      </c>
      <c r="F8" s="18" t="s">
        <v>35</v>
      </c>
      <c r="G8" s="19" t="s">
        <v>19</v>
      </c>
      <c r="H8" s="18" t="s">
        <v>35</v>
      </c>
      <c r="I8" s="20" t="s">
        <v>19</v>
      </c>
      <c r="J8" s="21" t="s">
        <v>35</v>
      </c>
      <c r="K8" s="19" t="s">
        <v>19</v>
      </c>
      <c r="L8" s="18" t="s">
        <v>35</v>
      </c>
      <c r="M8" s="19" t="s">
        <v>19</v>
      </c>
      <c r="N8" s="18" t="s">
        <v>35</v>
      </c>
      <c r="O8" s="20" t="s">
        <v>19</v>
      </c>
      <c r="Q8" s="98" t="s">
        <v>36</v>
      </c>
      <c r="R8" s="99"/>
      <c r="S8" s="99"/>
      <c r="T8" s="99"/>
      <c r="U8" s="99"/>
      <c r="V8" s="99"/>
    </row>
    <row r="9" spans="1:22" ht="18" customHeight="1" x14ac:dyDescent="0.25">
      <c r="B9" s="22" t="s">
        <v>4</v>
      </c>
      <c r="C9" s="23"/>
      <c r="D9" s="35">
        <f>'A ▪ Bestandseingabe'!E49</f>
        <v>0</v>
      </c>
      <c r="E9" s="36">
        <f>'A ▪ Bestandseingabe'!F49</f>
        <v>0</v>
      </c>
      <c r="F9" s="35">
        <f>'A ▪ Bestandseingabe'!G49</f>
        <v>0</v>
      </c>
      <c r="G9" s="36">
        <f>'A ▪ Bestandseingabe'!H49</f>
        <v>0</v>
      </c>
      <c r="H9" s="35">
        <f>'A ▪ Bestandseingabe'!I49</f>
        <v>0</v>
      </c>
      <c r="I9" s="37">
        <f>'A ▪ Bestandseingabe'!J49</f>
        <v>0</v>
      </c>
      <c r="J9" s="38">
        <f>'A ▪ Bestandseingabe'!O49</f>
        <v>0</v>
      </c>
      <c r="K9" s="36">
        <f>'A ▪ Bestandseingabe'!P49</f>
        <v>0</v>
      </c>
      <c r="L9" s="35">
        <f>'A ▪ Bestandseingabe'!Q49</f>
        <v>0</v>
      </c>
      <c r="M9" s="36">
        <f>'A ▪ Bestandseingabe'!R49</f>
        <v>0</v>
      </c>
      <c r="N9" s="35">
        <f>'A ▪ Bestandseingabe'!S49</f>
        <v>0</v>
      </c>
      <c r="O9" s="37">
        <f>'A ▪ Bestandseingabe'!T49</f>
        <v>0</v>
      </c>
      <c r="P9" s="106"/>
      <c r="Q9" s="104">
        <f>IF((D9-E9)&lt;0,1,0)</f>
        <v>0</v>
      </c>
      <c r="R9" s="97">
        <f>IF((F9-G9)&lt;0,1,0)</f>
        <v>0</v>
      </c>
      <c r="S9" s="100">
        <f>IF((H9-I9)&lt;0,1,0)</f>
        <v>0</v>
      </c>
      <c r="T9" s="104">
        <f>IF((J9-K9)&lt;0,1,0)</f>
        <v>0</v>
      </c>
      <c r="U9" s="97">
        <f>IF((L9-M9)&lt;0,1,0)</f>
        <v>0</v>
      </c>
      <c r="V9" s="100">
        <f>IF((N9-O9)&lt;0,1,0)</f>
        <v>0</v>
      </c>
    </row>
    <row r="10" spans="1:22" ht="18" customHeight="1" x14ac:dyDescent="0.25">
      <c r="B10" s="22" t="s">
        <v>5</v>
      </c>
      <c r="C10" s="23"/>
      <c r="D10" s="35">
        <f>'A ▪ Bestandseingabe'!E50</f>
        <v>0</v>
      </c>
      <c r="E10" s="36">
        <f>'A ▪ Bestandseingabe'!F50</f>
        <v>0</v>
      </c>
      <c r="F10" s="42">
        <f>'A ▪ Bestandseingabe'!G50</f>
        <v>0</v>
      </c>
      <c r="G10" s="43">
        <f>'A ▪ Bestandseingabe'!H50</f>
        <v>0</v>
      </c>
      <c r="H10" s="40">
        <f>'A ▪ Bestandseingabe'!I50</f>
        <v>0</v>
      </c>
      <c r="I10" s="41">
        <f>'A ▪ Bestandseingabe'!J50</f>
        <v>0</v>
      </c>
      <c r="J10" s="38">
        <f>'A ▪ Bestandseingabe'!O50</f>
        <v>0</v>
      </c>
      <c r="K10" s="36">
        <f>'A ▪ Bestandseingabe'!P50</f>
        <v>0</v>
      </c>
      <c r="L10" s="42">
        <f>'A ▪ Bestandseingabe'!Q50</f>
        <v>0</v>
      </c>
      <c r="M10" s="43">
        <f>'A ▪ Bestandseingabe'!R50</f>
        <v>0</v>
      </c>
      <c r="N10" s="40">
        <f>'A ▪ Bestandseingabe'!S50</f>
        <v>0</v>
      </c>
      <c r="O10" s="41">
        <f>'A ▪ Bestandseingabe'!T50</f>
        <v>0</v>
      </c>
      <c r="P10" s="106"/>
      <c r="Q10" s="105">
        <f t="shared" ref="Q10:Q12" si="0">IF((D10-E10)&lt;0,1,0)</f>
        <v>0</v>
      </c>
      <c r="R10" s="96">
        <f t="shared" ref="R10:R12" si="1">IF((F10-G10)&lt;0,1,0)</f>
        <v>0</v>
      </c>
      <c r="S10" s="101">
        <f t="shared" ref="S10:S12" si="2">IF((H10-I10)&lt;0,1,0)</f>
        <v>0</v>
      </c>
      <c r="T10" s="105">
        <f t="shared" ref="T10:T13" si="3">IF((J10-K10)&lt;0,1,0)</f>
        <v>0</v>
      </c>
      <c r="U10" s="96">
        <f t="shared" ref="U10:U12" si="4">IF((L10-M10)&lt;0,1,0)</f>
        <v>0</v>
      </c>
      <c r="V10" s="101">
        <f t="shared" ref="V10:V12" si="5">IF((N10-O10)&lt;0,1,0)</f>
        <v>0</v>
      </c>
    </row>
    <row r="11" spans="1:22" ht="18" customHeight="1" x14ac:dyDescent="0.25">
      <c r="B11" s="22" t="s">
        <v>299</v>
      </c>
      <c r="C11" s="23"/>
      <c r="D11" s="35">
        <f>'A ▪ Bestandseingabe'!E51</f>
        <v>0</v>
      </c>
      <c r="E11" s="36">
        <f>'A ▪ Bestandseingabe'!F51</f>
        <v>0</v>
      </c>
      <c r="F11" s="42">
        <f>'A ▪ Bestandseingabe'!G51</f>
        <v>0</v>
      </c>
      <c r="G11" s="43">
        <f>'A ▪ Bestandseingabe'!H51</f>
        <v>0</v>
      </c>
      <c r="H11" s="40">
        <f>'A ▪ Bestandseingabe'!I51</f>
        <v>0</v>
      </c>
      <c r="I11" s="41">
        <f>'A ▪ Bestandseingabe'!J51</f>
        <v>0</v>
      </c>
      <c r="J11" s="38">
        <f>'A ▪ Bestandseingabe'!O51</f>
        <v>0</v>
      </c>
      <c r="K11" s="36">
        <f>'A ▪ Bestandseingabe'!P51</f>
        <v>0</v>
      </c>
      <c r="L11" s="42">
        <f>'A ▪ Bestandseingabe'!Q51</f>
        <v>0</v>
      </c>
      <c r="M11" s="43">
        <f>'A ▪ Bestandseingabe'!R51</f>
        <v>0</v>
      </c>
      <c r="N11" s="40">
        <f>'A ▪ Bestandseingabe'!S51</f>
        <v>0</v>
      </c>
      <c r="O11" s="41">
        <f>'A ▪ Bestandseingabe'!T51</f>
        <v>0</v>
      </c>
      <c r="P11" s="106"/>
      <c r="Q11" s="105">
        <f t="shared" si="0"/>
        <v>0</v>
      </c>
      <c r="R11" s="96">
        <f t="shared" si="1"/>
        <v>0</v>
      </c>
      <c r="S11" s="101">
        <f t="shared" si="2"/>
        <v>0</v>
      </c>
      <c r="T11" s="105">
        <f t="shared" si="3"/>
        <v>0</v>
      </c>
      <c r="U11" s="96">
        <f t="shared" si="4"/>
        <v>0</v>
      </c>
      <c r="V11" s="101">
        <f t="shared" si="5"/>
        <v>0</v>
      </c>
    </row>
    <row r="12" spans="1:22" ht="18" customHeight="1" thickBot="1" x14ac:dyDescent="0.3">
      <c r="B12" s="24" t="s">
        <v>6</v>
      </c>
      <c r="C12" s="25"/>
      <c r="D12" s="35">
        <f>'A ▪ Bestandseingabe'!E52</f>
        <v>0</v>
      </c>
      <c r="E12" s="36">
        <f>'A ▪ Bestandseingabe'!F52</f>
        <v>0</v>
      </c>
      <c r="F12" s="42">
        <f>'A ▪ Bestandseingabe'!G52</f>
        <v>0</v>
      </c>
      <c r="G12" s="43">
        <f>'A ▪ Bestandseingabe'!H52</f>
        <v>0</v>
      </c>
      <c r="H12" s="40">
        <f>'A ▪ Bestandseingabe'!I52</f>
        <v>0</v>
      </c>
      <c r="I12" s="41">
        <f>'A ▪ Bestandseingabe'!J52</f>
        <v>0</v>
      </c>
      <c r="J12" s="38">
        <f>'A ▪ Bestandseingabe'!O52</f>
        <v>0</v>
      </c>
      <c r="K12" s="36">
        <f>'A ▪ Bestandseingabe'!P52</f>
        <v>0</v>
      </c>
      <c r="L12" s="42">
        <f>'A ▪ Bestandseingabe'!Q52</f>
        <v>0</v>
      </c>
      <c r="M12" s="43">
        <f>'A ▪ Bestandseingabe'!R52</f>
        <v>0</v>
      </c>
      <c r="N12" s="40">
        <f>'A ▪ Bestandseingabe'!S52</f>
        <v>0</v>
      </c>
      <c r="O12" s="41">
        <f>'A ▪ Bestandseingabe'!T52</f>
        <v>0</v>
      </c>
      <c r="P12" s="106"/>
      <c r="Q12" s="105">
        <f t="shared" si="0"/>
        <v>0</v>
      </c>
      <c r="R12" s="102">
        <f t="shared" si="1"/>
        <v>0</v>
      </c>
      <c r="S12" s="103">
        <f t="shared" si="2"/>
        <v>0</v>
      </c>
      <c r="T12" s="111">
        <f t="shared" si="3"/>
        <v>0</v>
      </c>
      <c r="U12" s="102">
        <f t="shared" si="4"/>
        <v>0</v>
      </c>
      <c r="V12" s="103">
        <f t="shared" si="5"/>
        <v>0</v>
      </c>
    </row>
    <row r="13" spans="1:22" ht="18" customHeight="1" thickBot="1" x14ac:dyDescent="0.3">
      <c r="B13" s="22" t="s">
        <v>206</v>
      </c>
      <c r="C13" s="23"/>
      <c r="D13" s="40">
        <f>'A ▪ Bestandseingabe'!E54</f>
        <v>0</v>
      </c>
      <c r="E13" s="178">
        <f>'A ▪ Bestandseingabe'!F54</f>
        <v>0</v>
      </c>
      <c r="F13" s="95" t="str">
        <f>IF(SUM(Q9:S13)&gt;0,$B$130,"")</f>
        <v/>
      </c>
      <c r="G13" s="30"/>
      <c r="H13" s="30"/>
      <c r="I13" s="31"/>
      <c r="J13" s="40">
        <f>'A ▪ Bestandseingabe'!O54</f>
        <v>0</v>
      </c>
      <c r="K13" s="179">
        <f>'A ▪ Bestandseingabe'!P54</f>
        <v>0</v>
      </c>
      <c r="L13" s="95" t="str">
        <f>IF(SUM(T9:V13)&gt;0,$B$130,"")</f>
        <v/>
      </c>
      <c r="M13" s="30"/>
      <c r="N13" s="30"/>
      <c r="O13" s="31"/>
      <c r="P13" s="107" t="s">
        <v>29</v>
      </c>
      <c r="Q13" s="108">
        <f>IF((D13-E13)&lt;0,1,0)</f>
        <v>0</v>
      </c>
      <c r="S13" s="109"/>
      <c r="T13" s="110">
        <f t="shared" si="3"/>
        <v>0</v>
      </c>
    </row>
    <row r="14" spans="1:22" ht="18" customHeight="1" thickBot="1" x14ac:dyDescent="0.3">
      <c r="B14" s="26" t="s">
        <v>918</v>
      </c>
      <c r="C14" s="27"/>
      <c r="D14" s="62">
        <f>'A ▪ Bestandseingabe'!F56</f>
        <v>0</v>
      </c>
      <c r="E14" s="996">
        <f>'A ▪ Bestandseingabe'!F58</f>
        <v>0</v>
      </c>
      <c r="F14" s="32"/>
      <c r="G14" s="32"/>
      <c r="H14" s="33"/>
      <c r="I14" s="34"/>
      <c r="J14" s="62">
        <f>'A ▪ Bestandseingabe'!P56</f>
        <v>0</v>
      </c>
      <c r="K14" s="997">
        <f>'A ▪ Bestandseingabe'!P58</f>
        <v>0</v>
      </c>
      <c r="L14" s="33"/>
      <c r="M14" s="33"/>
      <c r="N14" s="33"/>
      <c r="O14" s="34"/>
    </row>
    <row r="15" spans="1:22" ht="18" customHeight="1" x14ac:dyDescent="0.25">
      <c r="B15" s="28" t="s">
        <v>42</v>
      </c>
      <c r="C15" s="29"/>
      <c r="D15" s="1960" t="s">
        <v>3</v>
      </c>
      <c r="E15" s="1958"/>
      <c r="F15" s="1960" t="s">
        <v>7</v>
      </c>
      <c r="G15" s="1958"/>
      <c r="H15" s="1956" t="s">
        <v>754</v>
      </c>
      <c r="I15" s="1957"/>
      <c r="J15" s="1958" t="s">
        <v>3</v>
      </c>
      <c r="K15" s="1959"/>
      <c r="L15" s="1960" t="s">
        <v>7</v>
      </c>
      <c r="M15" s="1959"/>
      <c r="N15" s="1982" t="s">
        <v>754</v>
      </c>
      <c r="O15" s="1983"/>
    </row>
    <row r="16" spans="1:22" ht="18" customHeight="1" thickBot="1" x14ac:dyDescent="0.3">
      <c r="B16" s="16" t="s">
        <v>21</v>
      </c>
      <c r="C16" s="17"/>
      <c r="D16" s="18" t="s">
        <v>35</v>
      </c>
      <c r="E16" s="19" t="s">
        <v>19</v>
      </c>
      <c r="F16" s="18" t="s">
        <v>35</v>
      </c>
      <c r="G16" s="19" t="s">
        <v>19</v>
      </c>
      <c r="H16" s="18" t="s">
        <v>35</v>
      </c>
      <c r="I16" s="20" t="s">
        <v>19</v>
      </c>
      <c r="J16" s="21" t="s">
        <v>35</v>
      </c>
      <c r="K16" s="19" t="s">
        <v>19</v>
      </c>
      <c r="L16" s="18" t="s">
        <v>35</v>
      </c>
      <c r="M16" s="19" t="s">
        <v>19</v>
      </c>
      <c r="N16" s="18" t="s">
        <v>35</v>
      </c>
      <c r="O16" s="20" t="s">
        <v>19</v>
      </c>
      <c r="Q16" s="98" t="s">
        <v>36</v>
      </c>
      <c r="R16" s="99"/>
      <c r="S16" s="99"/>
      <c r="T16" s="99"/>
      <c r="U16" s="99"/>
      <c r="V16" s="99"/>
    </row>
    <row r="17" spans="2:22" ht="18" customHeight="1" x14ac:dyDescent="0.25">
      <c r="B17" s="22" t="s">
        <v>4</v>
      </c>
      <c r="C17" s="23"/>
      <c r="D17" s="35">
        <f>'A ▪ Bestandseingabe'!E64</f>
        <v>0</v>
      </c>
      <c r="E17" s="36">
        <f>'A ▪ Bestandseingabe'!F64</f>
        <v>0</v>
      </c>
      <c r="F17" s="35">
        <f>'A ▪ Bestandseingabe'!G64</f>
        <v>0</v>
      </c>
      <c r="G17" s="36">
        <f>'A ▪ Bestandseingabe'!H64</f>
        <v>0</v>
      </c>
      <c r="H17" s="35">
        <f>'A ▪ Bestandseingabe'!I64</f>
        <v>0</v>
      </c>
      <c r="I17" s="37">
        <f>'A ▪ Bestandseingabe'!J64</f>
        <v>0</v>
      </c>
      <c r="J17" s="38">
        <f>'A ▪ Bestandseingabe'!O64</f>
        <v>0</v>
      </c>
      <c r="K17" s="36">
        <f>'A ▪ Bestandseingabe'!P64</f>
        <v>0</v>
      </c>
      <c r="L17" s="35">
        <f>'A ▪ Bestandseingabe'!Q64</f>
        <v>0</v>
      </c>
      <c r="M17" s="36">
        <f>'A ▪ Bestandseingabe'!R64</f>
        <v>0</v>
      </c>
      <c r="N17" s="35">
        <f>'A ▪ Bestandseingabe'!S64</f>
        <v>0</v>
      </c>
      <c r="O17" s="37">
        <f>'A ▪ Bestandseingabe'!T64</f>
        <v>0</v>
      </c>
      <c r="P17" s="106"/>
      <c r="Q17" s="104">
        <f>IF((D17-E17)&lt;0,1,0)</f>
        <v>0</v>
      </c>
      <c r="R17" s="97">
        <f>IF((F17-G17)&lt;0,1,0)</f>
        <v>0</v>
      </c>
      <c r="S17" s="100">
        <f>IF((H17-I17)&lt;0,1,0)</f>
        <v>0</v>
      </c>
      <c r="T17" s="104">
        <f>IF((J17-K17)&lt;0,1,0)</f>
        <v>0</v>
      </c>
      <c r="U17" s="97">
        <f>IF((L17-M17)&lt;0,1,0)</f>
        <v>0</v>
      </c>
      <c r="V17" s="114">
        <f>IF((N17-O17)&lt;0,1,0)</f>
        <v>0</v>
      </c>
    </row>
    <row r="18" spans="2:22" ht="18" customHeight="1" x14ac:dyDescent="0.25">
      <c r="B18" s="22" t="s">
        <v>5</v>
      </c>
      <c r="C18" s="23"/>
      <c r="D18" s="35">
        <f>'A ▪ Bestandseingabe'!E65</f>
        <v>0</v>
      </c>
      <c r="E18" s="36">
        <f>'A ▪ Bestandseingabe'!F65</f>
        <v>0</v>
      </c>
      <c r="F18" s="42">
        <f>'A ▪ Bestandseingabe'!G65</f>
        <v>0</v>
      </c>
      <c r="G18" s="43">
        <f>'A ▪ Bestandseingabe'!H65</f>
        <v>0</v>
      </c>
      <c r="H18" s="40">
        <f>'A ▪ Bestandseingabe'!I65</f>
        <v>0</v>
      </c>
      <c r="I18" s="41">
        <f>'A ▪ Bestandseingabe'!J65</f>
        <v>0</v>
      </c>
      <c r="J18" s="38">
        <f>'A ▪ Bestandseingabe'!O65</f>
        <v>0</v>
      </c>
      <c r="K18" s="36">
        <f>'A ▪ Bestandseingabe'!P65</f>
        <v>0</v>
      </c>
      <c r="L18" s="42">
        <f>'A ▪ Bestandseingabe'!Q65</f>
        <v>0</v>
      </c>
      <c r="M18" s="43">
        <f>'A ▪ Bestandseingabe'!R65</f>
        <v>0</v>
      </c>
      <c r="N18" s="40">
        <f>'A ▪ Bestandseingabe'!S65</f>
        <v>0</v>
      </c>
      <c r="O18" s="41">
        <f>'A ▪ Bestandseingabe'!T65</f>
        <v>0</v>
      </c>
      <c r="P18" s="106"/>
      <c r="Q18" s="105">
        <f t="shared" ref="Q18:Q21" si="6">IF((D18-E18)&lt;0,1,0)</f>
        <v>0</v>
      </c>
      <c r="R18" s="96">
        <f t="shared" ref="R18:R20" si="7">IF((F18-G18)&lt;0,1,0)</f>
        <v>0</v>
      </c>
      <c r="S18" s="101">
        <f t="shared" ref="S18:S20" si="8">IF((H18-I18)&lt;0,1,0)</f>
        <v>0</v>
      </c>
      <c r="T18" s="105">
        <f t="shared" ref="T18:T21" si="9">IF((J18-K18)&lt;0,1,0)</f>
        <v>0</v>
      </c>
      <c r="U18" s="96">
        <f t="shared" ref="U18:U20" si="10">IF((L18-M18)&lt;0,1,0)</f>
        <v>0</v>
      </c>
      <c r="V18" s="101">
        <f t="shared" ref="V18:V20" si="11">IF((N18-O18)&lt;0,1,0)</f>
        <v>0</v>
      </c>
    </row>
    <row r="19" spans="2:22" ht="18" customHeight="1" x14ac:dyDescent="0.25">
      <c r="B19" s="22" t="s">
        <v>299</v>
      </c>
      <c r="C19" s="23"/>
      <c r="D19" s="35">
        <f>'A ▪ Bestandseingabe'!E66</f>
        <v>0</v>
      </c>
      <c r="E19" s="36">
        <f>'A ▪ Bestandseingabe'!F66</f>
        <v>0</v>
      </c>
      <c r="F19" s="42">
        <f>'A ▪ Bestandseingabe'!G66</f>
        <v>0</v>
      </c>
      <c r="G19" s="43">
        <f>'A ▪ Bestandseingabe'!H66</f>
        <v>0</v>
      </c>
      <c r="H19" s="40">
        <f>'A ▪ Bestandseingabe'!I66</f>
        <v>0</v>
      </c>
      <c r="I19" s="41">
        <f>'A ▪ Bestandseingabe'!J66</f>
        <v>0</v>
      </c>
      <c r="J19" s="38">
        <f>'A ▪ Bestandseingabe'!O66</f>
        <v>0</v>
      </c>
      <c r="K19" s="36">
        <f>'A ▪ Bestandseingabe'!P66</f>
        <v>0</v>
      </c>
      <c r="L19" s="42">
        <f>'A ▪ Bestandseingabe'!Q66</f>
        <v>0</v>
      </c>
      <c r="M19" s="43">
        <f>'A ▪ Bestandseingabe'!R66</f>
        <v>0</v>
      </c>
      <c r="N19" s="40">
        <f>'A ▪ Bestandseingabe'!S66</f>
        <v>0</v>
      </c>
      <c r="O19" s="41">
        <f>'A ▪ Bestandseingabe'!T66</f>
        <v>0</v>
      </c>
      <c r="P19" s="106"/>
      <c r="Q19" s="105">
        <f t="shared" si="6"/>
        <v>0</v>
      </c>
      <c r="R19" s="96">
        <f t="shared" si="7"/>
        <v>0</v>
      </c>
      <c r="S19" s="101">
        <f t="shared" si="8"/>
        <v>0</v>
      </c>
      <c r="T19" s="105">
        <f t="shared" si="9"/>
        <v>0</v>
      </c>
      <c r="U19" s="96">
        <f t="shared" si="10"/>
        <v>0</v>
      </c>
      <c r="V19" s="101">
        <f t="shared" si="11"/>
        <v>0</v>
      </c>
    </row>
    <row r="20" spans="2:22" ht="18" customHeight="1" thickBot="1" x14ac:dyDescent="0.3">
      <c r="B20" s="24" t="s">
        <v>6</v>
      </c>
      <c r="C20" s="25"/>
      <c r="D20" s="35">
        <f>'A ▪ Bestandseingabe'!E67</f>
        <v>0</v>
      </c>
      <c r="E20" s="36">
        <f>'A ▪ Bestandseingabe'!F67</f>
        <v>0</v>
      </c>
      <c r="F20" s="42">
        <f>'A ▪ Bestandseingabe'!G67</f>
        <v>0</v>
      </c>
      <c r="G20" s="43">
        <f>'A ▪ Bestandseingabe'!H67</f>
        <v>0</v>
      </c>
      <c r="H20" s="40">
        <f>'A ▪ Bestandseingabe'!I67</f>
        <v>0</v>
      </c>
      <c r="I20" s="41">
        <f>'A ▪ Bestandseingabe'!J67</f>
        <v>0</v>
      </c>
      <c r="J20" s="38">
        <f>'A ▪ Bestandseingabe'!O67</f>
        <v>0</v>
      </c>
      <c r="K20" s="36">
        <f>'A ▪ Bestandseingabe'!P67</f>
        <v>0</v>
      </c>
      <c r="L20" s="42">
        <f>'A ▪ Bestandseingabe'!Q67</f>
        <v>0</v>
      </c>
      <c r="M20" s="43">
        <f>'A ▪ Bestandseingabe'!R67</f>
        <v>0</v>
      </c>
      <c r="N20" s="40">
        <f>'A ▪ Bestandseingabe'!S67</f>
        <v>0</v>
      </c>
      <c r="O20" s="41">
        <f>'A ▪ Bestandseingabe'!T67</f>
        <v>0</v>
      </c>
      <c r="P20" s="106"/>
      <c r="Q20" s="105">
        <f t="shared" si="6"/>
        <v>0</v>
      </c>
      <c r="R20" s="102">
        <f t="shared" si="7"/>
        <v>0</v>
      </c>
      <c r="S20" s="103">
        <f t="shared" si="8"/>
        <v>0</v>
      </c>
      <c r="T20" s="105">
        <f t="shared" si="9"/>
        <v>0</v>
      </c>
      <c r="U20" s="102">
        <f t="shared" si="10"/>
        <v>0</v>
      </c>
      <c r="V20" s="103">
        <f t="shared" si="11"/>
        <v>0</v>
      </c>
    </row>
    <row r="21" spans="2:22" ht="18" customHeight="1" thickBot="1" x14ac:dyDescent="0.3">
      <c r="B21" s="22" t="s">
        <v>206</v>
      </c>
      <c r="C21" s="23"/>
      <c r="D21" s="40">
        <f>'A ▪ Bestandseingabe'!E69</f>
        <v>0</v>
      </c>
      <c r="E21" s="178">
        <f>'A ▪ Bestandseingabe'!F69</f>
        <v>0</v>
      </c>
      <c r="F21" s="95" t="str">
        <f>IF(SUM(Q17:S21)&gt;0,$B$130,"")</f>
        <v/>
      </c>
      <c r="G21" s="30"/>
      <c r="H21" s="30"/>
      <c r="I21" s="31"/>
      <c r="J21" s="40">
        <f>'A ▪ Bestandseingabe'!O69</f>
        <v>0</v>
      </c>
      <c r="K21" s="178">
        <f>'A ▪ Bestandseingabe'!P69</f>
        <v>0</v>
      </c>
      <c r="L21" s="95" t="str">
        <f>IF(SUM(T17:V21)&gt;0,$B$130,"")</f>
        <v/>
      </c>
      <c r="M21" s="30"/>
      <c r="N21" s="30"/>
      <c r="O21" s="31"/>
      <c r="P21" s="107" t="s">
        <v>29</v>
      </c>
      <c r="Q21" s="108">
        <f t="shared" si="6"/>
        <v>0</v>
      </c>
      <c r="S21" s="112"/>
      <c r="T21" s="108">
        <f t="shared" si="9"/>
        <v>0</v>
      </c>
    </row>
    <row r="22" spans="2:22" ht="18" customHeight="1" thickBot="1" x14ac:dyDescent="0.3">
      <c r="B22" s="26" t="s">
        <v>918</v>
      </c>
      <c r="C22" s="27"/>
      <c r="D22" s="62">
        <f>'A ▪ Bestandseingabe'!F71</f>
        <v>0</v>
      </c>
      <c r="E22" s="996">
        <f>'A ▪ Bestandseingabe'!F73</f>
        <v>0</v>
      </c>
      <c r="F22" s="32"/>
      <c r="G22" s="32"/>
      <c r="H22" s="33"/>
      <c r="I22" s="34"/>
      <c r="J22" s="62">
        <f>'A ▪ Bestandseingabe'!P71</f>
        <v>0</v>
      </c>
      <c r="K22" s="996">
        <f>'A ▪ Bestandseingabe'!P73</f>
        <v>0</v>
      </c>
      <c r="L22" s="33"/>
      <c r="M22" s="33"/>
      <c r="N22" s="33"/>
      <c r="O22" s="34"/>
    </row>
    <row r="23" spans="2:22" ht="18" customHeight="1" x14ac:dyDescent="0.25">
      <c r="B23" s="28" t="s">
        <v>43</v>
      </c>
      <c r="C23" s="29"/>
      <c r="D23" s="1960" t="s">
        <v>3</v>
      </c>
      <c r="E23" s="1958"/>
      <c r="F23" s="1960" t="s">
        <v>7</v>
      </c>
      <c r="G23" s="1958"/>
      <c r="H23" s="1956" t="s">
        <v>754</v>
      </c>
      <c r="I23" s="1957"/>
      <c r="J23" s="1958" t="s">
        <v>3</v>
      </c>
      <c r="K23" s="1959"/>
      <c r="L23" s="1960" t="s">
        <v>7</v>
      </c>
      <c r="M23" s="1959"/>
      <c r="N23" s="1982" t="s">
        <v>754</v>
      </c>
      <c r="O23" s="1983"/>
    </row>
    <row r="24" spans="2:22" ht="18" customHeight="1" thickBot="1" x14ac:dyDescent="0.3">
      <c r="B24" s="16" t="s">
        <v>21</v>
      </c>
      <c r="C24" s="17"/>
      <c r="D24" s="18" t="s">
        <v>35</v>
      </c>
      <c r="E24" s="19" t="s">
        <v>19</v>
      </c>
      <c r="F24" s="18" t="s">
        <v>35</v>
      </c>
      <c r="G24" s="19" t="s">
        <v>19</v>
      </c>
      <c r="H24" s="18" t="s">
        <v>35</v>
      </c>
      <c r="I24" s="20" t="s">
        <v>19</v>
      </c>
      <c r="J24" s="21" t="s">
        <v>35</v>
      </c>
      <c r="K24" s="19" t="s">
        <v>19</v>
      </c>
      <c r="L24" s="18" t="s">
        <v>35</v>
      </c>
      <c r="M24" s="19" t="s">
        <v>19</v>
      </c>
      <c r="N24" s="18" t="s">
        <v>35</v>
      </c>
      <c r="O24" s="20" t="s">
        <v>19</v>
      </c>
      <c r="Q24" s="98" t="s">
        <v>36</v>
      </c>
      <c r="R24" s="99"/>
      <c r="S24" s="99"/>
      <c r="T24" s="99"/>
      <c r="U24" s="99"/>
      <c r="V24" s="99"/>
    </row>
    <row r="25" spans="2:22" ht="18" customHeight="1" x14ac:dyDescent="0.25">
      <c r="B25" s="22" t="s">
        <v>4</v>
      </c>
      <c r="C25" s="23"/>
      <c r="D25" s="35">
        <f>'A ▪ Bestandseingabe'!E79</f>
        <v>0</v>
      </c>
      <c r="E25" s="36">
        <f>'A ▪ Bestandseingabe'!F79</f>
        <v>0</v>
      </c>
      <c r="F25" s="35">
        <f>'A ▪ Bestandseingabe'!G79</f>
        <v>0</v>
      </c>
      <c r="G25" s="36">
        <f>'A ▪ Bestandseingabe'!H79</f>
        <v>0</v>
      </c>
      <c r="H25" s="35">
        <f>'A ▪ Bestandseingabe'!I79</f>
        <v>0</v>
      </c>
      <c r="I25" s="37">
        <f>'A ▪ Bestandseingabe'!J79</f>
        <v>0</v>
      </c>
      <c r="J25" s="38">
        <f>'A ▪ Bestandseingabe'!O79</f>
        <v>0</v>
      </c>
      <c r="K25" s="36">
        <f>'A ▪ Bestandseingabe'!P79</f>
        <v>0</v>
      </c>
      <c r="L25" s="35">
        <f>'A ▪ Bestandseingabe'!Q79</f>
        <v>0</v>
      </c>
      <c r="M25" s="36">
        <f>'A ▪ Bestandseingabe'!R79</f>
        <v>0</v>
      </c>
      <c r="N25" s="35">
        <f>'A ▪ Bestandseingabe'!S79</f>
        <v>0</v>
      </c>
      <c r="O25" s="37">
        <f>'A ▪ Bestandseingabe'!T79</f>
        <v>0</v>
      </c>
      <c r="P25" s="106"/>
      <c r="Q25" s="104">
        <f>IF((D25-E25)&lt;0,1,0)</f>
        <v>0</v>
      </c>
      <c r="R25" s="97">
        <f>IF((F25-G25)&lt;0,1,0)</f>
        <v>0</v>
      </c>
      <c r="S25" s="100">
        <f>IF((H25-I25)&lt;0,1,0)</f>
        <v>0</v>
      </c>
      <c r="T25" s="104">
        <f>IF((J25-K25)&lt;0,1,0)</f>
        <v>0</v>
      </c>
      <c r="U25" s="97">
        <f>IF((L25-M25)&lt;0,1,0)</f>
        <v>0</v>
      </c>
      <c r="V25" s="100">
        <f>IF((N25-O25)&lt;0,1,0)</f>
        <v>0</v>
      </c>
    </row>
    <row r="26" spans="2:22" ht="18" customHeight="1" x14ac:dyDescent="0.25">
      <c r="B26" s="22" t="s">
        <v>5</v>
      </c>
      <c r="C26" s="23"/>
      <c r="D26" s="35">
        <f>'A ▪ Bestandseingabe'!E80</f>
        <v>0</v>
      </c>
      <c r="E26" s="36">
        <f>'A ▪ Bestandseingabe'!F80</f>
        <v>0</v>
      </c>
      <c r="F26" s="35">
        <f>'A ▪ Bestandseingabe'!G80</f>
        <v>0</v>
      </c>
      <c r="G26" s="36">
        <f>'A ▪ Bestandseingabe'!H80</f>
        <v>0</v>
      </c>
      <c r="H26" s="40">
        <f>'A ▪ Bestandseingabe'!I80</f>
        <v>0</v>
      </c>
      <c r="I26" s="41">
        <f>'A ▪ Bestandseingabe'!J80</f>
        <v>0</v>
      </c>
      <c r="J26" s="38">
        <f>'A ▪ Bestandseingabe'!O80</f>
        <v>0</v>
      </c>
      <c r="K26" s="36">
        <f>'A ▪ Bestandseingabe'!P80</f>
        <v>0</v>
      </c>
      <c r="L26" s="35">
        <f>'A ▪ Bestandseingabe'!Q80</f>
        <v>0</v>
      </c>
      <c r="M26" s="36">
        <f>'A ▪ Bestandseingabe'!R80</f>
        <v>0</v>
      </c>
      <c r="N26" s="40">
        <f>'A ▪ Bestandseingabe'!S80</f>
        <v>0</v>
      </c>
      <c r="O26" s="41">
        <f>'A ▪ Bestandseingabe'!T80</f>
        <v>0</v>
      </c>
      <c r="P26" s="106"/>
      <c r="Q26" s="105">
        <f t="shared" ref="Q26:Q29" si="12">IF((D26-E26)&lt;0,1,0)</f>
        <v>0</v>
      </c>
      <c r="R26" s="96">
        <f t="shared" ref="R26:R28" si="13">IF((F26-G26)&lt;0,1,0)</f>
        <v>0</v>
      </c>
      <c r="S26" s="101">
        <f t="shared" ref="S26:S28" si="14">IF((H26-I26)&lt;0,1,0)</f>
        <v>0</v>
      </c>
      <c r="T26" s="105">
        <f t="shared" ref="T26:T29" si="15">IF((J26-K26)&lt;0,1,0)</f>
        <v>0</v>
      </c>
      <c r="U26" s="96">
        <f t="shared" ref="U26:U28" si="16">IF((L26-M26)&lt;0,1,0)</f>
        <v>0</v>
      </c>
      <c r="V26" s="101">
        <f t="shared" ref="V26:V28" si="17">IF((N26-O26)&lt;0,1,0)</f>
        <v>0</v>
      </c>
    </row>
    <row r="27" spans="2:22" ht="18" customHeight="1" x14ac:dyDescent="0.25">
      <c r="B27" s="22" t="s">
        <v>299</v>
      </c>
      <c r="C27" s="23"/>
      <c r="D27" s="35">
        <f>'A ▪ Bestandseingabe'!E81</f>
        <v>0</v>
      </c>
      <c r="E27" s="36">
        <f>'A ▪ Bestandseingabe'!F81</f>
        <v>0</v>
      </c>
      <c r="F27" s="35">
        <f>'A ▪ Bestandseingabe'!G81</f>
        <v>0</v>
      </c>
      <c r="G27" s="36">
        <f>'A ▪ Bestandseingabe'!H81</f>
        <v>0</v>
      </c>
      <c r="H27" s="40">
        <f>'A ▪ Bestandseingabe'!I81</f>
        <v>0</v>
      </c>
      <c r="I27" s="41">
        <f>'A ▪ Bestandseingabe'!J81</f>
        <v>0</v>
      </c>
      <c r="J27" s="38">
        <f>'A ▪ Bestandseingabe'!O81</f>
        <v>0</v>
      </c>
      <c r="K27" s="36">
        <f>'A ▪ Bestandseingabe'!P81</f>
        <v>0</v>
      </c>
      <c r="L27" s="35">
        <f>'A ▪ Bestandseingabe'!Q81</f>
        <v>0</v>
      </c>
      <c r="M27" s="36">
        <f>'A ▪ Bestandseingabe'!R81</f>
        <v>0</v>
      </c>
      <c r="N27" s="40">
        <f>'A ▪ Bestandseingabe'!S81</f>
        <v>0</v>
      </c>
      <c r="O27" s="41">
        <f>'A ▪ Bestandseingabe'!T81</f>
        <v>0</v>
      </c>
      <c r="P27" s="106"/>
      <c r="Q27" s="105">
        <f t="shared" si="12"/>
        <v>0</v>
      </c>
      <c r="R27" s="96">
        <f t="shared" si="13"/>
        <v>0</v>
      </c>
      <c r="S27" s="101">
        <f t="shared" si="14"/>
        <v>0</v>
      </c>
      <c r="T27" s="105">
        <f t="shared" si="15"/>
        <v>0</v>
      </c>
      <c r="U27" s="96">
        <f t="shared" si="16"/>
        <v>0</v>
      </c>
      <c r="V27" s="101">
        <f t="shared" si="17"/>
        <v>0</v>
      </c>
    </row>
    <row r="28" spans="2:22" ht="18" customHeight="1" thickBot="1" x14ac:dyDescent="0.3">
      <c r="B28" s="24" t="s">
        <v>6</v>
      </c>
      <c r="C28" s="25"/>
      <c r="D28" s="35">
        <f>'A ▪ Bestandseingabe'!E82</f>
        <v>0</v>
      </c>
      <c r="E28" s="36">
        <f>'A ▪ Bestandseingabe'!F82</f>
        <v>0</v>
      </c>
      <c r="F28" s="35">
        <f>'A ▪ Bestandseingabe'!G82</f>
        <v>0</v>
      </c>
      <c r="G28" s="36">
        <f>'A ▪ Bestandseingabe'!H82</f>
        <v>0</v>
      </c>
      <c r="H28" s="40">
        <f>'A ▪ Bestandseingabe'!I82</f>
        <v>0</v>
      </c>
      <c r="I28" s="41">
        <f>'A ▪ Bestandseingabe'!J82</f>
        <v>0</v>
      </c>
      <c r="J28" s="38">
        <f>'A ▪ Bestandseingabe'!O82</f>
        <v>0</v>
      </c>
      <c r="K28" s="36">
        <f>'A ▪ Bestandseingabe'!P82</f>
        <v>0</v>
      </c>
      <c r="L28" s="35">
        <f>'A ▪ Bestandseingabe'!Q82</f>
        <v>0</v>
      </c>
      <c r="M28" s="36">
        <f>'A ▪ Bestandseingabe'!R82</f>
        <v>0</v>
      </c>
      <c r="N28" s="40">
        <f>'A ▪ Bestandseingabe'!S82</f>
        <v>0</v>
      </c>
      <c r="O28" s="41">
        <f>'A ▪ Bestandseingabe'!T82</f>
        <v>0</v>
      </c>
      <c r="P28" s="106"/>
      <c r="Q28" s="105">
        <f t="shared" si="12"/>
        <v>0</v>
      </c>
      <c r="R28" s="102">
        <f t="shared" si="13"/>
        <v>0</v>
      </c>
      <c r="S28" s="103">
        <f t="shared" si="14"/>
        <v>0</v>
      </c>
      <c r="T28" s="105">
        <f t="shared" si="15"/>
        <v>0</v>
      </c>
      <c r="U28" s="102">
        <f t="shared" si="16"/>
        <v>0</v>
      </c>
      <c r="V28" s="103">
        <f t="shared" si="17"/>
        <v>0</v>
      </c>
    </row>
    <row r="29" spans="2:22" ht="18" customHeight="1" thickBot="1" x14ac:dyDescent="0.3">
      <c r="B29" s="22" t="s">
        <v>206</v>
      </c>
      <c r="C29" s="23"/>
      <c r="D29" s="40">
        <f>'A ▪ Bestandseingabe'!E84</f>
        <v>0</v>
      </c>
      <c r="E29" s="178">
        <f>'A ▪ Bestandseingabe'!F84</f>
        <v>0</v>
      </c>
      <c r="F29" s="95" t="str">
        <f>IF(SUM(Q25:S29)&gt;0,$B$130,"")</f>
        <v/>
      </c>
      <c r="G29" s="30"/>
      <c r="H29" s="30"/>
      <c r="I29" s="31"/>
      <c r="J29" s="40">
        <f>'A ▪ Bestandseingabe'!O84</f>
        <v>0</v>
      </c>
      <c r="K29" s="179">
        <f>'A ▪ Bestandseingabe'!P84</f>
        <v>0</v>
      </c>
      <c r="L29" s="95" t="str">
        <f>IF(SUM(T25:V29)&gt;0,$B$130,"")</f>
        <v/>
      </c>
      <c r="M29" s="30"/>
      <c r="N29" s="30"/>
      <c r="O29" s="31"/>
      <c r="P29" s="107" t="s">
        <v>29</v>
      </c>
      <c r="Q29" s="115">
        <f t="shared" si="12"/>
        <v>0</v>
      </c>
      <c r="R29" s="116"/>
      <c r="S29" s="112"/>
      <c r="T29" s="117">
        <f t="shared" si="15"/>
        <v>0</v>
      </c>
      <c r="U29" s="116"/>
      <c r="V29" s="113"/>
    </row>
    <row r="30" spans="2:22" ht="18" customHeight="1" thickBot="1" x14ac:dyDescent="0.3">
      <c r="B30" s="26" t="s">
        <v>918</v>
      </c>
      <c r="C30" s="27"/>
      <c r="D30" s="62">
        <f>'A ▪ Bestandseingabe'!F86</f>
        <v>0</v>
      </c>
      <c r="E30" s="996">
        <f>'A ▪ Bestandseingabe'!F88</f>
        <v>0</v>
      </c>
      <c r="F30" s="32"/>
      <c r="G30" s="32"/>
      <c r="H30" s="33"/>
      <c r="I30" s="34"/>
      <c r="J30" s="62">
        <f>'A ▪ Bestandseingabe'!P86</f>
        <v>0</v>
      </c>
      <c r="K30" s="997">
        <f>'A ▪ Bestandseingabe'!P88</f>
        <v>0</v>
      </c>
      <c r="L30" s="33"/>
      <c r="M30" s="33"/>
      <c r="N30" s="33"/>
      <c r="O30" s="34"/>
      <c r="T30" s="113"/>
    </row>
    <row r="31" spans="2:22" ht="18" customHeight="1" x14ac:dyDescent="0.25">
      <c r="B31" s="28" t="s">
        <v>44</v>
      </c>
      <c r="C31" s="29"/>
      <c r="D31" s="1960" t="s">
        <v>3</v>
      </c>
      <c r="E31" s="1958"/>
      <c r="F31" s="1960" t="s">
        <v>7</v>
      </c>
      <c r="G31" s="1958"/>
      <c r="H31" s="1956" t="s">
        <v>754</v>
      </c>
      <c r="I31" s="1957"/>
      <c r="J31" s="1958" t="s">
        <v>3</v>
      </c>
      <c r="K31" s="1959"/>
      <c r="L31" s="1960" t="s">
        <v>7</v>
      </c>
      <c r="M31" s="1959"/>
      <c r="N31" s="1982" t="s">
        <v>754</v>
      </c>
      <c r="O31" s="1983"/>
    </row>
    <row r="32" spans="2:22" ht="18" customHeight="1" thickBot="1" x14ac:dyDescent="0.3">
      <c r="B32" s="16" t="s">
        <v>21</v>
      </c>
      <c r="C32" s="17"/>
      <c r="D32" s="18" t="s">
        <v>35</v>
      </c>
      <c r="E32" s="19" t="s">
        <v>19</v>
      </c>
      <c r="F32" s="18" t="s">
        <v>35</v>
      </c>
      <c r="G32" s="19" t="s">
        <v>19</v>
      </c>
      <c r="H32" s="18" t="s">
        <v>35</v>
      </c>
      <c r="I32" s="20" t="s">
        <v>19</v>
      </c>
      <c r="J32" s="21" t="s">
        <v>35</v>
      </c>
      <c r="K32" s="19" t="s">
        <v>19</v>
      </c>
      <c r="L32" s="18" t="s">
        <v>35</v>
      </c>
      <c r="M32" s="19" t="s">
        <v>19</v>
      </c>
      <c r="N32" s="18" t="s">
        <v>35</v>
      </c>
      <c r="O32" s="20" t="s">
        <v>19</v>
      </c>
      <c r="P32" s="121"/>
      <c r="Q32" s="98" t="s">
        <v>36</v>
      </c>
      <c r="R32" s="99"/>
      <c r="S32" s="99"/>
      <c r="T32" s="99"/>
      <c r="U32" s="99"/>
      <c r="V32" s="99"/>
    </row>
    <row r="33" spans="1:23" ht="18" customHeight="1" x14ac:dyDescent="0.25">
      <c r="B33" s="22" t="s">
        <v>4</v>
      </c>
      <c r="C33" s="23"/>
      <c r="D33" s="35">
        <f>'A ▪ Bestandseingabe'!E94</f>
        <v>0</v>
      </c>
      <c r="E33" s="36">
        <f>'A ▪ Bestandseingabe'!F94</f>
        <v>0</v>
      </c>
      <c r="F33" s="35">
        <f>'A ▪ Bestandseingabe'!G94</f>
        <v>0</v>
      </c>
      <c r="G33" s="36">
        <f>'A ▪ Bestandseingabe'!H94</f>
        <v>0</v>
      </c>
      <c r="H33" s="35">
        <f>'A ▪ Bestandseingabe'!I94</f>
        <v>0</v>
      </c>
      <c r="I33" s="37">
        <f>'A ▪ Bestandseingabe'!J94</f>
        <v>0</v>
      </c>
      <c r="J33" s="38">
        <f>'A ▪ Bestandseingabe'!O94</f>
        <v>0</v>
      </c>
      <c r="K33" s="36">
        <f>'A ▪ Bestandseingabe'!P94</f>
        <v>0</v>
      </c>
      <c r="L33" s="35">
        <f>'A ▪ Bestandseingabe'!Q94</f>
        <v>0</v>
      </c>
      <c r="M33" s="36">
        <f>'A ▪ Bestandseingabe'!R94</f>
        <v>0</v>
      </c>
      <c r="N33" s="35">
        <f>'A ▪ Bestandseingabe'!S94</f>
        <v>0</v>
      </c>
      <c r="O33" s="37">
        <f>'A ▪ Bestandseingabe'!T94</f>
        <v>0</v>
      </c>
      <c r="P33" s="106"/>
      <c r="Q33" s="104">
        <f>IF((D33-E33)&lt;0,1,0)</f>
        <v>0</v>
      </c>
      <c r="R33" s="97">
        <f>IF((F33-G33)&lt;0,1,0)</f>
        <v>0</v>
      </c>
      <c r="S33" s="100">
        <f>IF((H33-I33)&lt;0,1,0)</f>
        <v>0</v>
      </c>
      <c r="T33" s="104">
        <f>IF((J33-K33)&lt;0,1,0)</f>
        <v>0</v>
      </c>
      <c r="U33" s="97">
        <f>IF((L33-M33)&lt;0,1,0)</f>
        <v>0</v>
      </c>
      <c r="V33" s="100">
        <f>IF((N33-O33)&lt;0,1,0)</f>
        <v>0</v>
      </c>
    </row>
    <row r="34" spans="1:23" ht="18" customHeight="1" x14ac:dyDescent="0.25">
      <c r="B34" s="22" t="s">
        <v>5</v>
      </c>
      <c r="C34" s="23"/>
      <c r="D34" s="35">
        <f>'A ▪ Bestandseingabe'!E95</f>
        <v>0</v>
      </c>
      <c r="E34" s="36">
        <f>'A ▪ Bestandseingabe'!F95</f>
        <v>0</v>
      </c>
      <c r="F34" s="35">
        <f>'A ▪ Bestandseingabe'!G95</f>
        <v>0</v>
      </c>
      <c r="G34" s="36">
        <f>'A ▪ Bestandseingabe'!H95</f>
        <v>0</v>
      </c>
      <c r="H34" s="35">
        <f>'A ▪ Bestandseingabe'!I95</f>
        <v>0</v>
      </c>
      <c r="I34" s="37">
        <f>'A ▪ Bestandseingabe'!J95</f>
        <v>0</v>
      </c>
      <c r="J34" s="38">
        <f>'A ▪ Bestandseingabe'!O95</f>
        <v>0</v>
      </c>
      <c r="K34" s="36">
        <f>'A ▪ Bestandseingabe'!P95</f>
        <v>0</v>
      </c>
      <c r="L34" s="35">
        <f>'A ▪ Bestandseingabe'!Q95</f>
        <v>0</v>
      </c>
      <c r="M34" s="36">
        <f>'A ▪ Bestandseingabe'!R95</f>
        <v>0</v>
      </c>
      <c r="N34" s="35">
        <f>'A ▪ Bestandseingabe'!S95</f>
        <v>0</v>
      </c>
      <c r="O34" s="37">
        <f>'A ▪ Bestandseingabe'!T95</f>
        <v>0</v>
      </c>
      <c r="P34" s="106"/>
      <c r="Q34" s="105">
        <f t="shared" ref="Q34:Q37" si="18">IF((D34-E34)&lt;0,1,0)</f>
        <v>0</v>
      </c>
      <c r="R34" s="96">
        <f t="shared" ref="R34:R36" si="19">IF((F34-G34)&lt;0,1,0)</f>
        <v>0</v>
      </c>
      <c r="S34" s="101">
        <f t="shared" ref="S34:S36" si="20">IF((H34-I34)&lt;0,1,0)</f>
        <v>0</v>
      </c>
      <c r="T34" s="105">
        <f t="shared" ref="T34:T37" si="21">IF((J34-K34)&lt;0,1,0)</f>
        <v>0</v>
      </c>
      <c r="U34" s="96">
        <f t="shared" ref="U34:U36" si="22">IF((L34-M34)&lt;0,1,0)</f>
        <v>0</v>
      </c>
      <c r="V34" s="101">
        <f t="shared" ref="V34:V36" si="23">IF((N34-O34)&lt;0,1,0)</f>
        <v>0</v>
      </c>
    </row>
    <row r="35" spans="1:23" ht="18" customHeight="1" x14ac:dyDescent="0.25">
      <c r="A35" s="2"/>
      <c r="B35" s="22" t="s">
        <v>299</v>
      </c>
      <c r="C35" s="23"/>
      <c r="D35" s="35">
        <f>'A ▪ Bestandseingabe'!E96</f>
        <v>0</v>
      </c>
      <c r="E35" s="36">
        <f>'A ▪ Bestandseingabe'!F96</f>
        <v>0</v>
      </c>
      <c r="F35" s="35">
        <f>'A ▪ Bestandseingabe'!G96</f>
        <v>0</v>
      </c>
      <c r="G35" s="36">
        <f>'A ▪ Bestandseingabe'!H96</f>
        <v>0</v>
      </c>
      <c r="H35" s="35">
        <f>'A ▪ Bestandseingabe'!I96</f>
        <v>0</v>
      </c>
      <c r="I35" s="37">
        <f>'A ▪ Bestandseingabe'!J96</f>
        <v>0</v>
      </c>
      <c r="J35" s="38">
        <f>'A ▪ Bestandseingabe'!O96</f>
        <v>0</v>
      </c>
      <c r="K35" s="36">
        <f>'A ▪ Bestandseingabe'!P96</f>
        <v>0</v>
      </c>
      <c r="L35" s="35">
        <f>'A ▪ Bestandseingabe'!Q96</f>
        <v>0</v>
      </c>
      <c r="M35" s="36">
        <f>'A ▪ Bestandseingabe'!R96</f>
        <v>0</v>
      </c>
      <c r="N35" s="35">
        <f>'A ▪ Bestandseingabe'!S96</f>
        <v>0</v>
      </c>
      <c r="O35" s="37">
        <f>'A ▪ Bestandseingabe'!T96</f>
        <v>0</v>
      </c>
      <c r="P35" s="106"/>
      <c r="Q35" s="105">
        <f t="shared" si="18"/>
        <v>0</v>
      </c>
      <c r="R35" s="96">
        <f t="shared" si="19"/>
        <v>0</v>
      </c>
      <c r="S35" s="101">
        <f t="shared" si="20"/>
        <v>0</v>
      </c>
      <c r="T35" s="105">
        <f t="shared" si="21"/>
        <v>0</v>
      </c>
      <c r="U35" s="96">
        <f t="shared" si="22"/>
        <v>0</v>
      </c>
      <c r="V35" s="101">
        <f t="shared" si="23"/>
        <v>0</v>
      </c>
    </row>
    <row r="36" spans="1:23" ht="18" customHeight="1" thickBot="1" x14ac:dyDescent="0.3">
      <c r="A36" s="2"/>
      <c r="B36" s="24" t="s">
        <v>6</v>
      </c>
      <c r="C36" s="25"/>
      <c r="D36" s="35">
        <f>'A ▪ Bestandseingabe'!E97</f>
        <v>0</v>
      </c>
      <c r="E36" s="36">
        <f>'A ▪ Bestandseingabe'!F97</f>
        <v>0</v>
      </c>
      <c r="F36" s="35">
        <f>'A ▪ Bestandseingabe'!G97</f>
        <v>0</v>
      </c>
      <c r="G36" s="36">
        <f>'A ▪ Bestandseingabe'!H97</f>
        <v>0</v>
      </c>
      <c r="H36" s="35">
        <f>'A ▪ Bestandseingabe'!I97</f>
        <v>0</v>
      </c>
      <c r="I36" s="37">
        <f>'A ▪ Bestandseingabe'!J97</f>
        <v>0</v>
      </c>
      <c r="J36" s="38">
        <f>'A ▪ Bestandseingabe'!O97</f>
        <v>0</v>
      </c>
      <c r="K36" s="36">
        <f>'A ▪ Bestandseingabe'!P97</f>
        <v>0</v>
      </c>
      <c r="L36" s="35">
        <f>'A ▪ Bestandseingabe'!Q97</f>
        <v>0</v>
      </c>
      <c r="M36" s="36">
        <f>'A ▪ Bestandseingabe'!R97</f>
        <v>0</v>
      </c>
      <c r="N36" s="35">
        <f>'A ▪ Bestandseingabe'!S97</f>
        <v>0</v>
      </c>
      <c r="O36" s="37">
        <f>'A ▪ Bestandseingabe'!T97</f>
        <v>0</v>
      </c>
      <c r="P36" s="106"/>
      <c r="Q36" s="105">
        <f t="shared" si="18"/>
        <v>0</v>
      </c>
      <c r="R36" s="119">
        <f t="shared" si="19"/>
        <v>0</v>
      </c>
      <c r="S36" s="103">
        <f t="shared" si="20"/>
        <v>0</v>
      </c>
      <c r="T36" s="105">
        <f t="shared" si="21"/>
        <v>0</v>
      </c>
      <c r="U36" s="102">
        <f t="shared" si="22"/>
        <v>0</v>
      </c>
      <c r="V36" s="103">
        <f t="shared" si="23"/>
        <v>0</v>
      </c>
    </row>
    <row r="37" spans="1:23" ht="18" customHeight="1" thickBot="1" x14ac:dyDescent="0.3">
      <c r="A37" s="2"/>
      <c r="B37" s="22" t="s">
        <v>206</v>
      </c>
      <c r="C37" s="23"/>
      <c r="D37" s="35">
        <f>'A ▪ Bestandseingabe'!E99</f>
        <v>0</v>
      </c>
      <c r="E37" s="63">
        <f>'A ▪ Bestandseingabe'!F99</f>
        <v>0</v>
      </c>
      <c r="F37" s="95" t="str">
        <f>IF(SUM(Q33:S37)&gt;0,$B$130,"")</f>
        <v/>
      </c>
      <c r="G37" s="30"/>
      <c r="H37" s="30"/>
      <c r="I37" s="31"/>
      <c r="J37" s="35">
        <f>'A ▪ Bestandseingabe'!O99</f>
        <v>0</v>
      </c>
      <c r="K37" s="39">
        <f>'A ▪ Bestandseingabe'!P99</f>
        <v>0</v>
      </c>
      <c r="L37" s="95" t="str">
        <f>IF(SUM(T33:V37)&gt;0,$B$130,"")</f>
        <v/>
      </c>
      <c r="M37" s="30"/>
      <c r="N37" s="30"/>
      <c r="O37" s="31"/>
      <c r="P37" s="107" t="s">
        <v>29</v>
      </c>
      <c r="Q37" s="120">
        <f t="shared" si="18"/>
        <v>0</v>
      </c>
      <c r="R37" s="113"/>
      <c r="S37" s="112"/>
      <c r="T37" s="108">
        <f t="shared" si="21"/>
        <v>0</v>
      </c>
      <c r="U37" s="118"/>
      <c r="V37" s="113"/>
    </row>
    <row r="38" spans="1:23" ht="18" customHeight="1" thickBot="1" x14ac:dyDescent="0.3">
      <c r="A38" s="2"/>
      <c r="B38" s="26" t="s">
        <v>918</v>
      </c>
      <c r="C38" s="27"/>
      <c r="D38" s="62">
        <f>'A ▪ Bestandseingabe'!F101</f>
        <v>0</v>
      </c>
      <c r="E38" s="997">
        <f>'A ▪ Bestandseingabe'!F103</f>
        <v>0</v>
      </c>
      <c r="F38" s="32"/>
      <c r="G38" s="32"/>
      <c r="H38" s="33"/>
      <c r="I38" s="34"/>
      <c r="J38" s="62">
        <f>'A ▪ Bestandseingabe'!P101</f>
        <v>0</v>
      </c>
      <c r="K38" s="996">
        <f>'A ▪ Bestandseingabe'!P103</f>
        <v>0</v>
      </c>
      <c r="L38" s="33"/>
      <c r="M38" s="33"/>
      <c r="N38" s="33"/>
      <c r="O38" s="34"/>
      <c r="Q38" s="113"/>
      <c r="T38" s="113"/>
    </row>
    <row r="39" spans="1:23" ht="18" customHeight="1" thickBot="1" x14ac:dyDescent="0.3">
      <c r="A39" s="2"/>
      <c r="Q39" s="136" t="s">
        <v>160</v>
      </c>
      <c r="R39" s="122">
        <f>IF(VA_BESTANDSEINGABE&gt;0,SUM(Q9:S13,Q17:S21,Q25:S29,Q33:S37),0)+IF(VA_BESTANDSEINGABE=2,SUM(T9:V13,T17:V21,T25:V29,T33:V37,0))</f>
        <v>0</v>
      </c>
      <c r="T39"/>
      <c r="U39"/>
      <c r="V39" s="998"/>
    </row>
    <row r="40" spans="1:23" ht="18" customHeight="1" thickBot="1" x14ac:dyDescent="0.3">
      <c r="A40" s="2"/>
      <c r="L40" s="999" t="s">
        <v>919</v>
      </c>
      <c r="M40" s="1001">
        <f>IF(VA_ZUSAMMEN=0,SUM(E14,E22,E30,E38),SUM(E14,E22,E30,E38)+W40)</f>
        <v>0</v>
      </c>
      <c r="V40" s="1000" t="s">
        <v>919</v>
      </c>
      <c r="W40" s="1001">
        <f>SUM(K14,K22,K30,K38)</f>
        <v>0</v>
      </c>
    </row>
    <row r="41" spans="1:23" ht="18" customHeight="1" x14ac:dyDescent="0.25">
      <c r="A41" s="2"/>
      <c r="B41" s="1928" t="s">
        <v>13</v>
      </c>
      <c r="C41" s="1929"/>
      <c r="D41" s="1977" t="s">
        <v>1</v>
      </c>
      <c r="E41" s="1978"/>
      <c r="F41" s="1979"/>
      <c r="G41" s="1974" t="s">
        <v>618</v>
      </c>
      <c r="H41" s="1974"/>
      <c r="I41" s="1974"/>
      <c r="J41" s="1975" t="s">
        <v>2</v>
      </c>
      <c r="K41" s="1976"/>
      <c r="L41" s="1980"/>
      <c r="M41" s="50" t="s">
        <v>39</v>
      </c>
      <c r="N41" s="1981" t="s">
        <v>1</v>
      </c>
      <c r="O41" s="1978"/>
      <c r="P41" s="1979"/>
      <c r="Q41" s="1974" t="s">
        <v>618</v>
      </c>
      <c r="R41" s="1974"/>
      <c r="S41" s="1974"/>
      <c r="T41" s="1975" t="s">
        <v>2</v>
      </c>
      <c r="U41" s="1976"/>
      <c r="V41" s="1976"/>
      <c r="W41" s="50" t="s">
        <v>39</v>
      </c>
    </row>
    <row r="42" spans="1:23" ht="18" customHeight="1" x14ac:dyDescent="0.25">
      <c r="A42" s="2"/>
      <c r="B42" s="1936"/>
      <c r="C42" s="1894"/>
      <c r="D42" s="45" t="s">
        <v>35</v>
      </c>
      <c r="E42" s="47" t="s">
        <v>19</v>
      </c>
      <c r="F42" s="46" t="s">
        <v>38</v>
      </c>
      <c r="G42" s="45" t="s">
        <v>35</v>
      </c>
      <c r="H42" s="47" t="s">
        <v>19</v>
      </c>
      <c r="I42" s="46" t="s">
        <v>38</v>
      </c>
      <c r="J42" s="45" t="s">
        <v>35</v>
      </c>
      <c r="K42" s="47" t="s">
        <v>19</v>
      </c>
      <c r="L42" s="46" t="s">
        <v>38</v>
      </c>
      <c r="M42" s="49" t="s">
        <v>19</v>
      </c>
      <c r="N42" s="47" t="s">
        <v>35</v>
      </c>
      <c r="O42" s="47" t="s">
        <v>19</v>
      </c>
      <c r="P42" s="46" t="s">
        <v>38</v>
      </c>
      <c r="Q42" s="45" t="s">
        <v>35</v>
      </c>
      <c r="R42" s="47" t="s">
        <v>19</v>
      </c>
      <c r="S42" s="46" t="s">
        <v>38</v>
      </c>
      <c r="T42" s="45" t="s">
        <v>35</v>
      </c>
      <c r="U42" s="47" t="s">
        <v>19</v>
      </c>
      <c r="V42" s="46" t="s">
        <v>38</v>
      </c>
      <c r="W42" s="49" t="s">
        <v>19</v>
      </c>
    </row>
    <row r="43" spans="1:23" ht="18" customHeight="1" x14ac:dyDescent="0.25">
      <c r="A43" s="2"/>
      <c r="B43" s="44" t="s">
        <v>41</v>
      </c>
      <c r="C43" s="169"/>
      <c r="D43" s="53">
        <f>IF(VA_ZUSAMMEN=0,SUM(F10:F12),SUM(F10:F12)+N43)</f>
        <v>0</v>
      </c>
      <c r="E43" s="54">
        <f>IF(VA_ZUSAMMEN=0,SUM(G10:G12),SUM(G10:G12)+O43)</f>
        <v>0</v>
      </c>
      <c r="F43" s="65" t="str">
        <f>IFERROR(E43/D43,"-")</f>
        <v>-</v>
      </c>
      <c r="G43" s="53">
        <f>IF(VA_ZUSAMMEN=0,SUM(H10:H12,D13),SUM(H10:H12,D13)+Q43)</f>
        <v>0</v>
      </c>
      <c r="H43" s="54">
        <f>IF(VA_ZUSAMMEN=0,SUM(I10:I12,E13),SUM(I10:I12,E13)+R43)</f>
        <v>0</v>
      </c>
      <c r="I43" s="65" t="str">
        <f>IFERROR(H43/G43,"-")</f>
        <v>-</v>
      </c>
      <c r="J43" s="53">
        <f>IF(VA_ZUSAMMEN=0,SUM(D9:D12,F9,H9),SUM(D9:D12,F9,H9)+T43)</f>
        <v>0</v>
      </c>
      <c r="K43" s="54">
        <f>IF(VA_ZUSAMMEN=0,SUM(E9:E12,G9,I9),SUM(E9:E12,G9,I9)+U43)</f>
        <v>0</v>
      </c>
      <c r="L43" s="65" t="str">
        <f>IFERROR(K43/J43,"-")</f>
        <v>-</v>
      </c>
      <c r="M43" s="55">
        <f>IF(VA_ZUSAMMEN=0,D14,D14+W43)</f>
        <v>0</v>
      </c>
      <c r="N43" s="53">
        <f>SUM(L10:L12)</f>
        <v>0</v>
      </c>
      <c r="O43" s="54">
        <f>SUM(M10:M12)</f>
        <v>0</v>
      </c>
      <c r="P43" s="65" t="str">
        <f>IFERROR(O43/N43,"-")</f>
        <v>-</v>
      </c>
      <c r="Q43" s="53">
        <f>SUM(N10:N12,J13)</f>
        <v>0</v>
      </c>
      <c r="R43" s="54">
        <f>SUM(O10:O12,K13)</f>
        <v>0</v>
      </c>
      <c r="S43" s="65" t="str">
        <f>IFERROR(R43/Q43,"-")</f>
        <v>-</v>
      </c>
      <c r="T43" s="53">
        <f>SUM(J9:J12,L9,N9)</f>
        <v>0</v>
      </c>
      <c r="U43" s="54">
        <f>SUM(K9:K12,M9,O9)</f>
        <v>0</v>
      </c>
      <c r="V43" s="65" t="str">
        <f>IFERROR(U43/T43,"-")</f>
        <v>-</v>
      </c>
      <c r="W43" s="55">
        <f>J14</f>
        <v>0</v>
      </c>
    </row>
    <row r="44" spans="1:23" ht="18" customHeight="1" x14ac:dyDescent="0.25">
      <c r="A44" s="2"/>
      <c r="B44" s="44" t="s">
        <v>42</v>
      </c>
      <c r="C44" s="48"/>
      <c r="D44" s="53">
        <f>IF(VA_ZUSAMMEN=0,SUM(F18:F20),SUM(F18:F20)+N44)</f>
        <v>0</v>
      </c>
      <c r="E44" s="54">
        <f>IF(VA_ZUSAMMEN=0,SUM(G18:G20),SUM(G18:G20)+O44)</f>
        <v>0</v>
      </c>
      <c r="F44" s="65" t="str">
        <f>IFERROR(E44/D44,"-")</f>
        <v>-</v>
      </c>
      <c r="G44" s="53">
        <f>IF(VA_ZUSAMMEN=0,SUM(H18:H20,D21),SUM(H18:H20,D21)+Q44)</f>
        <v>0</v>
      </c>
      <c r="H44" s="54">
        <f>IF(VA_ZUSAMMEN=0,SUM(I18:I20,E21),SUM(I18:I20,E21)+R44)</f>
        <v>0</v>
      </c>
      <c r="I44" s="65" t="str">
        <f>IFERROR(H44/G44,"-")</f>
        <v>-</v>
      </c>
      <c r="J44" s="53">
        <f>IF(VA_ZUSAMMEN=0,SUM(D17:D20,F17,H17),SUM(D17:D20,F17,H17)+T44)</f>
        <v>0</v>
      </c>
      <c r="K44" s="54">
        <f>IF(VA_ZUSAMMEN=0,SUM(E17:E20,G17,I17),SUM(E17:E20,G17,I17)+U44)</f>
        <v>0</v>
      </c>
      <c r="L44" s="65" t="str">
        <f>IFERROR(K44/J44,"-")</f>
        <v>-</v>
      </c>
      <c r="M44" s="55">
        <f>IF(VA_ZUSAMMEN=0,D22,D22+W44)</f>
        <v>0</v>
      </c>
      <c r="N44" s="53">
        <f>SUM(L18:L20)</f>
        <v>0</v>
      </c>
      <c r="O44" s="54">
        <f>SUM(M18:M20)</f>
        <v>0</v>
      </c>
      <c r="P44" s="65" t="str">
        <f>IFERROR(O44/N44,"-")</f>
        <v>-</v>
      </c>
      <c r="Q44" s="53">
        <f>SUM(N18:N20,J21)</f>
        <v>0</v>
      </c>
      <c r="R44" s="54">
        <f>SUM(O18:O20,K21)</f>
        <v>0</v>
      </c>
      <c r="S44" s="65" t="str">
        <f>IFERROR(R44/Q44,"-")</f>
        <v>-</v>
      </c>
      <c r="T44" s="53">
        <f>SUM(J17:J20,L17,N17)</f>
        <v>0</v>
      </c>
      <c r="U44" s="54">
        <f>SUM(K17:K20,M17,O17)</f>
        <v>0</v>
      </c>
      <c r="V44" s="65" t="str">
        <f>IFERROR(U44/T44,"-")</f>
        <v>-</v>
      </c>
      <c r="W44" s="55">
        <f>J22</f>
        <v>0</v>
      </c>
    </row>
    <row r="45" spans="1:23" ht="18" customHeight="1" x14ac:dyDescent="0.25">
      <c r="A45" s="2"/>
      <c r="B45" s="44" t="s">
        <v>43</v>
      </c>
      <c r="C45" s="48"/>
      <c r="D45" s="59"/>
      <c r="E45" s="60"/>
      <c r="F45" s="61"/>
      <c r="G45" s="53">
        <f>IF(VA_ZUSAMMEN=0,SUM(H26:H28,D29),SUM(H26:H28,D29)+Q45)</f>
        <v>0</v>
      </c>
      <c r="H45" s="54">
        <f>IF(VA_ZUSAMMEN=0,SUM(I26:I28,E29),SUM(I26:I28,E29)+R45)</f>
        <v>0</v>
      </c>
      <c r="I45" s="65" t="str">
        <f>IFERROR(H45/G45,"-")</f>
        <v>-</v>
      </c>
      <c r="J45" s="53">
        <f>IF(VA_ZUSAMMEN=0,SUM(D25:D28,F25:F28,H25),SUM(D25:D28,F25:F28,H25)+T45)</f>
        <v>0</v>
      </c>
      <c r="K45" s="54">
        <f>IF(VA_ZUSAMMEN=0,SUM(E25:E28,G25:G28,I25),SUM(E25:E28,G25:G28,I25)+U45)</f>
        <v>0</v>
      </c>
      <c r="L45" s="65" t="str">
        <f>IFERROR(K45/J45,"-")</f>
        <v>-</v>
      </c>
      <c r="M45" s="55">
        <f>IF(VA_ZUSAMMEN=0,D30,D30+W45)</f>
        <v>0</v>
      </c>
      <c r="N45" s="60"/>
      <c r="O45" s="60"/>
      <c r="P45" s="61"/>
      <c r="Q45" s="53">
        <f>SUM(N26:N28,J29)</f>
        <v>0</v>
      </c>
      <c r="R45" s="54">
        <f>SUM(O26:O28,K29)</f>
        <v>0</v>
      </c>
      <c r="S45" s="65" t="str">
        <f>IFERROR(R45/Q45,"-")</f>
        <v>-</v>
      </c>
      <c r="T45" s="53">
        <f>SUM(J25:J28,L25:L28,N25)</f>
        <v>0</v>
      </c>
      <c r="U45" s="54">
        <f>SUM(K25:K28,M25:M28,O25)</f>
        <v>0</v>
      </c>
      <c r="V45" s="65" t="str">
        <f>IFERROR(U45/T45,"-")</f>
        <v>-</v>
      </c>
      <c r="W45" s="55">
        <f>J30</f>
        <v>0</v>
      </c>
    </row>
    <row r="46" spans="1:23" ht="18" customHeight="1" x14ac:dyDescent="0.25">
      <c r="A46" s="2"/>
      <c r="B46" s="44" t="s">
        <v>44</v>
      </c>
      <c r="C46" s="48"/>
      <c r="D46" s="59"/>
      <c r="E46" s="60"/>
      <c r="F46" s="61"/>
      <c r="G46" s="59"/>
      <c r="H46" s="60"/>
      <c r="I46" s="61"/>
      <c r="J46" s="53">
        <f>IF(VA_ZUSAMMEN=0,SUM(D33:D37,F33:F36,H33:H36),SUM(D33:D37,F33:F36,H33:H36)+T46)</f>
        <v>0</v>
      </c>
      <c r="K46" s="54">
        <f>IF(VA_ZUSAMMEN=0,SUM(E33:E37,G33:G36,I33:I36),SUM(E33:E37,G33:G36,I33:I36)+U46)</f>
        <v>0</v>
      </c>
      <c r="L46" s="65" t="str">
        <f>IFERROR(K46/J46,"-")</f>
        <v>-</v>
      </c>
      <c r="M46" s="55">
        <f>IF(VA_ZUSAMMEN=0,D38,D38+W46)</f>
        <v>0</v>
      </c>
      <c r="N46" s="60"/>
      <c r="O46" s="60"/>
      <c r="P46" s="61"/>
      <c r="Q46" s="59"/>
      <c r="R46" s="60"/>
      <c r="S46" s="61"/>
      <c r="T46" s="53">
        <f>SUM(J33:J37,L33:L36,N33:N36)</f>
        <v>0</v>
      </c>
      <c r="U46" s="54">
        <f>SUM(K33:K37,M33:M36,O33:O36)</f>
        <v>0</v>
      </c>
      <c r="V46" s="65" t="str">
        <f>IFERROR(U46/T46,"-")</f>
        <v>-</v>
      </c>
      <c r="W46" s="55">
        <f>J38</f>
        <v>0</v>
      </c>
    </row>
    <row r="47" spans="1:23" ht="18" customHeight="1" thickBot="1" x14ac:dyDescent="0.3">
      <c r="A47" s="2"/>
      <c r="B47" s="51" t="s">
        <v>40</v>
      </c>
      <c r="C47" s="52"/>
      <c r="D47" s="56">
        <f>SUM(D43:D46)</f>
        <v>0</v>
      </c>
      <c r="E47" s="57">
        <f>SUM(E43:E46)</f>
        <v>0</v>
      </c>
      <c r="F47" s="64" t="str">
        <f>IFERROR(E47/D47,"-")</f>
        <v>-</v>
      </c>
      <c r="G47" s="56">
        <f>SUM(G43:G46)</f>
        <v>0</v>
      </c>
      <c r="H47" s="172">
        <f>SUM(H43:H46)</f>
        <v>0</v>
      </c>
      <c r="I47" s="64" t="str">
        <f>IFERROR(H47/G47,"-")</f>
        <v>-</v>
      </c>
      <c r="J47" s="56">
        <f>SUM(J43:J46)</f>
        <v>0</v>
      </c>
      <c r="K47" s="57">
        <f>SUM(K43:K46)</f>
        <v>0</v>
      </c>
      <c r="L47" s="64" t="str">
        <f>IFERROR(K47/J47,"-")</f>
        <v>-</v>
      </c>
      <c r="M47" s="58">
        <f>SUM(M43:M46)</f>
        <v>0</v>
      </c>
      <c r="N47" s="57">
        <f>SUM(N43:N46)</f>
        <v>0</v>
      </c>
      <c r="O47" s="57">
        <f>SUM(O43:O46)</f>
        <v>0</v>
      </c>
      <c r="P47" s="64" t="str">
        <f>IFERROR(O47/N47,"-")</f>
        <v>-</v>
      </c>
      <c r="Q47" s="56">
        <f>SUM(Q43:Q46)</f>
        <v>0</v>
      </c>
      <c r="R47" s="57">
        <f>SUM(R43:R46)</f>
        <v>0</v>
      </c>
      <c r="S47" s="64" t="str">
        <f>IFERROR(R47/Q47,"-")</f>
        <v>-</v>
      </c>
      <c r="T47" s="56">
        <f>SUM(T43:T46)</f>
        <v>0</v>
      </c>
      <c r="U47" s="57">
        <f>SUM(U43:U46)</f>
        <v>0</v>
      </c>
      <c r="V47" s="64" t="str">
        <f>IFERROR(U47/T47,"-")</f>
        <v>-</v>
      </c>
      <c r="W47" s="58">
        <f>SUM(W43:W46)</f>
        <v>0</v>
      </c>
    </row>
    <row r="48" spans="1:23" ht="18" customHeight="1" thickBot="1" x14ac:dyDescent="0.3">
      <c r="A48" s="177"/>
      <c r="B48" s="1899" t="s">
        <v>204</v>
      </c>
      <c r="C48" s="1996"/>
      <c r="D48" s="1994" t="s">
        <v>211</v>
      </c>
      <c r="E48" s="1994"/>
      <c r="F48" s="1995"/>
      <c r="G48" s="175">
        <f>IF(
AND(VA_BESTANDSEINGABE=1,G47&gt;0),1,IF(
AND(VA_BESTANDSEINGABE=2,G47+Q47&gt;0),1,
0))</f>
        <v>0</v>
      </c>
      <c r="H48" s="170"/>
      <c r="I48" s="195" t="s">
        <v>246</v>
      </c>
      <c r="J48" s="196">
        <f>D47+G47+J47</f>
        <v>0</v>
      </c>
      <c r="K48" s="196">
        <f>D47+G47</f>
        <v>0</v>
      </c>
      <c r="L48" s="493" t="s">
        <v>245</v>
      </c>
      <c r="M48" s="176">
        <f>E47+H47+K47+M47</f>
        <v>0</v>
      </c>
      <c r="N48" s="171"/>
      <c r="O48" s="171"/>
      <c r="P48" s="171"/>
      <c r="Q48" s="174" t="s">
        <v>67</v>
      </c>
      <c r="R48" s="173"/>
      <c r="S48" s="195" t="s">
        <v>246</v>
      </c>
      <c r="T48" s="197">
        <f>N47+Q47+T47</f>
        <v>0</v>
      </c>
      <c r="U48" s="197">
        <f>N47+Q47</f>
        <v>0</v>
      </c>
      <c r="V48" s="493" t="s">
        <v>245</v>
      </c>
      <c r="W48" s="176">
        <f>O47+R47+U47+W47</f>
        <v>0</v>
      </c>
    </row>
    <row r="49" spans="1:24" ht="18" customHeight="1" thickBot="1" x14ac:dyDescent="0.3">
      <c r="A49" s="2"/>
      <c r="B49" s="494"/>
      <c r="C49" s="494"/>
      <c r="H49" s="198"/>
      <c r="I49" s="199" t="s">
        <v>247</v>
      </c>
      <c r="J49" s="200" t="s">
        <v>492</v>
      </c>
      <c r="K49" s="200" t="s">
        <v>493</v>
      </c>
      <c r="L49" s="201"/>
      <c r="M49" s="200" t="s">
        <v>492</v>
      </c>
      <c r="N49" s="201"/>
      <c r="O49" s="201"/>
      <c r="P49" s="201"/>
      <c r="Q49" s="201"/>
      <c r="R49" s="201"/>
      <c r="S49" s="201"/>
      <c r="T49" s="200" t="s">
        <v>492</v>
      </c>
      <c r="U49" s="200" t="s">
        <v>493</v>
      </c>
      <c r="V49" s="201"/>
      <c r="W49" s="200" t="s">
        <v>492</v>
      </c>
    </row>
    <row r="50" spans="1:24" ht="18" customHeight="1" x14ac:dyDescent="0.25">
      <c r="A50" s="2"/>
      <c r="B50" s="74" t="s">
        <v>22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6"/>
    </row>
    <row r="51" spans="1:24" ht="18" customHeight="1" thickBot="1" x14ac:dyDescent="0.3">
      <c r="A51" s="2"/>
      <c r="B51" s="67" t="s">
        <v>53</v>
      </c>
      <c r="C51" s="72"/>
      <c r="D51" s="132">
        <f>D47+G47</f>
        <v>0</v>
      </c>
      <c r="E51" s="94" t="str">
        <f>IF(D52&gt;VA_VERLEGUNG_1,B133,"")</f>
        <v/>
      </c>
      <c r="F51" s="3"/>
      <c r="G51" s="3"/>
      <c r="H51" s="3"/>
      <c r="I51" s="3"/>
      <c r="J51" s="3"/>
      <c r="K51" s="3"/>
      <c r="L51" s="3"/>
      <c r="M51" s="68"/>
      <c r="N51" s="133">
        <f>N47+Q47</f>
        <v>0</v>
      </c>
      <c r="O51" s="94" t="str">
        <f>IF(N52&gt;VA_VERLEGUNG_2,$B$133,"")</f>
        <v/>
      </c>
      <c r="P51" s="3"/>
      <c r="Q51" s="3"/>
      <c r="R51" s="3"/>
      <c r="S51" s="3"/>
      <c r="T51" s="3"/>
      <c r="U51" s="3"/>
      <c r="V51" s="3"/>
      <c r="W51" s="68"/>
    </row>
    <row r="52" spans="1:24" ht="18" customHeight="1" thickBot="1" x14ac:dyDescent="0.3">
      <c r="A52" s="2"/>
      <c r="B52" s="69" t="s">
        <v>54</v>
      </c>
      <c r="C52" s="73"/>
      <c r="D52" s="125">
        <f>VE_VERLEGUNG_1</f>
        <v>0</v>
      </c>
      <c r="E52" s="70"/>
      <c r="F52" s="167"/>
      <c r="G52" s="167"/>
      <c r="H52" s="70"/>
      <c r="I52" s="168" t="s">
        <v>198</v>
      </c>
      <c r="J52" s="131">
        <f>D52+N52</f>
        <v>0</v>
      </c>
      <c r="K52" s="70"/>
      <c r="L52" s="70"/>
      <c r="M52" s="71"/>
      <c r="N52" s="126">
        <f>VE_VERLEGUNG_2</f>
        <v>0</v>
      </c>
      <c r="O52" s="70"/>
      <c r="P52" s="70"/>
      <c r="Q52" s="70"/>
      <c r="R52" s="70"/>
      <c r="S52" s="70"/>
      <c r="T52" s="70"/>
      <c r="U52" s="70"/>
      <c r="V52" s="136" t="s">
        <v>161</v>
      </c>
      <c r="W52" s="123">
        <f>IF(AND(VA_BESTANDSEINGABE&gt;0,D52&gt;VA_VERLEGUNG_1),1,0)+IF(AND(VA_BESTANDSEINGABE=2,N52&gt;VA_VERLEGUNG_2),1,0)</f>
        <v>0</v>
      </c>
    </row>
    <row r="53" spans="1:24" ht="18" customHeight="1" thickBot="1" x14ac:dyDescent="0.3">
      <c r="A53" s="2"/>
    </row>
    <row r="54" spans="1:24" ht="18" customHeight="1" x14ac:dyDescent="0.25">
      <c r="A54" s="2"/>
      <c r="B54" s="1928" t="s">
        <v>10</v>
      </c>
      <c r="C54" s="1929"/>
      <c r="D54" s="1937" t="s">
        <v>782</v>
      </c>
      <c r="E54" s="1938"/>
      <c r="F54" s="1938"/>
      <c r="G54" s="1938"/>
      <c r="H54" s="1938"/>
      <c r="I54" s="1939"/>
      <c r="J54" s="1940" t="s">
        <v>100</v>
      </c>
      <c r="K54" s="1941"/>
      <c r="L54" s="1941"/>
      <c r="M54" s="1942"/>
      <c r="N54" s="1937" t="s">
        <v>782</v>
      </c>
      <c r="O54" s="1938"/>
      <c r="P54" s="1938"/>
      <c r="Q54" s="1938"/>
      <c r="R54" s="1938"/>
      <c r="S54" s="1939"/>
      <c r="T54" s="1940" t="s">
        <v>100</v>
      </c>
      <c r="U54" s="1941"/>
      <c r="V54" s="1941"/>
      <c r="W54" s="1942"/>
    </row>
    <row r="55" spans="1:24" ht="18" customHeight="1" x14ac:dyDescent="0.25">
      <c r="A55" s="2"/>
      <c r="B55" s="1936"/>
      <c r="C55" s="1894"/>
      <c r="D55" s="45" t="s">
        <v>35</v>
      </c>
      <c r="E55" s="47" t="s">
        <v>19</v>
      </c>
      <c r="F55" s="46" t="s">
        <v>38</v>
      </c>
      <c r="G55" s="45" t="s">
        <v>35</v>
      </c>
      <c r="H55" s="47" t="s">
        <v>19</v>
      </c>
      <c r="I55" s="46" t="s">
        <v>38</v>
      </c>
      <c r="J55" s="45" t="s">
        <v>35</v>
      </c>
      <c r="K55" s="47" t="s">
        <v>19</v>
      </c>
      <c r="L55" s="46" t="s">
        <v>38</v>
      </c>
      <c r="M55" s="49" t="s">
        <v>19</v>
      </c>
      <c r="N55" s="47" t="s">
        <v>35</v>
      </c>
      <c r="O55" s="47" t="s">
        <v>19</v>
      </c>
      <c r="P55" s="46" t="s">
        <v>38</v>
      </c>
      <c r="Q55" s="45" t="s">
        <v>35</v>
      </c>
      <c r="R55" s="47" t="s">
        <v>19</v>
      </c>
      <c r="S55" s="46" t="s">
        <v>38</v>
      </c>
      <c r="T55" s="45" t="s">
        <v>35</v>
      </c>
      <c r="U55" s="47" t="s">
        <v>19</v>
      </c>
      <c r="V55" s="46" t="s">
        <v>38</v>
      </c>
      <c r="W55" s="49" t="s">
        <v>19</v>
      </c>
    </row>
    <row r="56" spans="1:24" ht="18" customHeight="1" x14ac:dyDescent="0.25">
      <c r="A56" s="2"/>
      <c r="B56" s="87"/>
      <c r="C56" s="3"/>
      <c r="D56" s="127">
        <f>D47+G47</f>
        <v>0</v>
      </c>
      <c r="E56" s="54">
        <f>E47+H47</f>
        <v>0</v>
      </c>
      <c r="F56" s="65" t="str">
        <f>IFERROR(E56/D56,"-")</f>
        <v>-</v>
      </c>
      <c r="G56" s="134" t="s">
        <v>67</v>
      </c>
      <c r="H56" s="134" t="s">
        <v>67</v>
      </c>
      <c r="I56" s="134" t="s">
        <v>67</v>
      </c>
      <c r="J56" s="53">
        <f>J47</f>
        <v>0</v>
      </c>
      <c r="K56" s="54">
        <f>K47+M47</f>
        <v>0</v>
      </c>
      <c r="L56" s="65" t="str">
        <f>IFERROR(K56/J56,"-")</f>
        <v>-</v>
      </c>
      <c r="M56" s="135" t="s">
        <v>67</v>
      </c>
      <c r="N56" s="130">
        <f>N47+Q47</f>
        <v>0</v>
      </c>
      <c r="O56" s="54">
        <f>O47+R47</f>
        <v>0</v>
      </c>
      <c r="P56" s="65" t="str">
        <f>IFERROR(O56/N56,"-")</f>
        <v>-</v>
      </c>
      <c r="Q56" s="134" t="s">
        <v>67</v>
      </c>
      <c r="R56" s="134" t="s">
        <v>67</v>
      </c>
      <c r="S56" s="134" t="s">
        <v>67</v>
      </c>
      <c r="T56" s="53">
        <f>T47</f>
        <v>0</v>
      </c>
      <c r="U56" s="54">
        <f>U47+W47</f>
        <v>0</v>
      </c>
      <c r="V56" s="65" t="str">
        <f>IFERROR(U56/T56,"-")</f>
        <v>-</v>
      </c>
      <c r="W56" s="135" t="s">
        <v>67</v>
      </c>
    </row>
    <row r="57" spans="1:24" ht="18" customHeight="1" x14ac:dyDescent="0.25">
      <c r="A57" s="2"/>
      <c r="B57" s="88" t="s">
        <v>97</v>
      </c>
      <c r="C57" s="3"/>
      <c r="D57" s="84"/>
      <c r="E57" s="128">
        <f>IFERROR(IF(E56/D56&gt;=0.8,E56,0),0)</f>
        <v>0</v>
      </c>
      <c r="F57" s="3"/>
      <c r="G57" s="3"/>
      <c r="H57" s="3"/>
      <c r="I57" s="3"/>
      <c r="J57" s="3"/>
      <c r="K57" s="124">
        <f>K56</f>
        <v>0</v>
      </c>
      <c r="L57" s="3"/>
      <c r="M57" s="86"/>
      <c r="N57" s="84"/>
      <c r="O57" s="124">
        <f>IFERROR(IF(O56/N56&gt;=0.8,O56,0),0)</f>
        <v>0</v>
      </c>
      <c r="P57" s="3"/>
      <c r="Q57" s="3"/>
      <c r="R57" s="3"/>
      <c r="S57" s="3"/>
      <c r="T57" s="3"/>
      <c r="U57" s="127">
        <f>U56</f>
        <v>0</v>
      </c>
      <c r="V57" s="85"/>
      <c r="W57" s="86"/>
    </row>
    <row r="58" spans="1:24" ht="18" customHeight="1" thickBot="1" x14ac:dyDescent="0.3">
      <c r="A58" s="2"/>
      <c r="B58" s="89" t="s">
        <v>98</v>
      </c>
      <c r="C58" s="90"/>
      <c r="D58" s="91"/>
      <c r="E58" s="129">
        <f>IFERROR(IF(E56/D56&gt;=0.8,0,E56),0)</f>
        <v>0</v>
      </c>
      <c r="F58" s="90"/>
      <c r="G58" s="90"/>
      <c r="H58" s="90"/>
      <c r="I58" s="90"/>
      <c r="J58" s="90"/>
      <c r="K58" s="90"/>
      <c r="L58" s="90"/>
      <c r="M58" s="92"/>
      <c r="N58" s="91"/>
      <c r="O58" s="131">
        <f>IFERROR(IF(O56/N56&gt;=0.8,0,O56),0)</f>
        <v>0</v>
      </c>
      <c r="P58" s="90"/>
      <c r="Q58" s="90"/>
      <c r="R58" s="90"/>
      <c r="S58" s="90"/>
      <c r="T58" s="90"/>
      <c r="U58" s="90"/>
      <c r="V58" s="90"/>
      <c r="W58" s="92"/>
    </row>
    <row r="59" spans="1:24" ht="18" customHeight="1" thickBot="1" x14ac:dyDescent="0.3">
      <c r="A59" s="2"/>
    </row>
    <row r="60" spans="1:24" ht="18" customHeight="1" x14ac:dyDescent="0.25">
      <c r="A60" s="2"/>
      <c r="B60" s="74" t="s">
        <v>217</v>
      </c>
      <c r="C60" s="74"/>
      <c r="D60" s="74"/>
      <c r="E60" s="182"/>
      <c r="F60" s="1898" t="s">
        <v>221</v>
      </c>
      <c r="G60" s="1897"/>
      <c r="H60" s="1896" t="s">
        <v>218</v>
      </c>
      <c r="I60" s="1897"/>
      <c r="J60" s="1896" t="s">
        <v>219</v>
      </c>
      <c r="K60" s="1897"/>
      <c r="L60" s="1898" t="s">
        <v>220</v>
      </c>
      <c r="M60" s="1902"/>
      <c r="N60" s="181"/>
      <c r="O60" s="183"/>
      <c r="P60" s="1898" t="s">
        <v>221</v>
      </c>
      <c r="Q60" s="1897"/>
      <c r="R60" s="1896" t="s">
        <v>218</v>
      </c>
      <c r="S60" s="1897"/>
      <c r="T60" s="1896" t="s">
        <v>219</v>
      </c>
      <c r="U60" s="1897"/>
      <c r="V60" s="1898" t="s">
        <v>220</v>
      </c>
      <c r="W60" s="1902"/>
      <c r="X60" s="184"/>
    </row>
    <row r="61" spans="1:24" ht="18" customHeight="1" x14ac:dyDescent="0.25">
      <c r="A61" s="2"/>
      <c r="B61" s="87" t="s">
        <v>222</v>
      </c>
      <c r="C61" s="3"/>
      <c r="D61" s="3"/>
      <c r="E61" s="48"/>
      <c r="F61" s="1879">
        <f>'C ▪ Ergebnisjustierung'!I136</f>
        <v>0</v>
      </c>
      <c r="G61" s="1943"/>
      <c r="H61" s="1879">
        <f>ROUNDUP(SUM('C ▪ Ergebnisjustierung'!G143:J143),0)</f>
        <v>0</v>
      </c>
      <c r="I61" s="1943"/>
      <c r="J61" s="1879">
        <f>'C ▪ Ergebnisjustierung'!G145</f>
        <v>0</v>
      </c>
      <c r="K61" s="1943"/>
      <c r="L61" s="1879">
        <f>'C ▪ Ergebnisjustierung'!I145</f>
        <v>0</v>
      </c>
      <c r="M61" s="2005"/>
      <c r="N61" s="3"/>
      <c r="O61" s="48"/>
      <c r="P61" s="1879">
        <f>'C ▪ Ergebnisjustierung'!S136</f>
        <v>0</v>
      </c>
      <c r="Q61" s="1943"/>
      <c r="R61" s="1879">
        <f>ROUNDUP(SUM('C ▪ Ergebnisjustierung'!Q143:T143),0)</f>
        <v>0</v>
      </c>
      <c r="S61" s="1943"/>
      <c r="T61" s="1879">
        <f>'C ▪ Ergebnisjustierung'!Q145</f>
        <v>0</v>
      </c>
      <c r="U61" s="1943"/>
      <c r="V61" s="1879">
        <f>'C ▪ Ergebnisjustierung'!S145</f>
        <v>0</v>
      </c>
      <c r="W61" s="2005"/>
    </row>
    <row r="62" spans="1:24" ht="18" customHeight="1" thickBot="1" x14ac:dyDescent="0.3">
      <c r="A62" s="2"/>
      <c r="B62" s="185" t="s">
        <v>235</v>
      </c>
      <c r="C62" s="90"/>
      <c r="D62" s="90"/>
      <c r="E62" s="91"/>
      <c r="F62" s="1890">
        <f>IF(H61&lt;F61,1,0)</f>
        <v>0</v>
      </c>
      <c r="G62" s="1891"/>
      <c r="H62" s="1891"/>
      <c r="I62" s="2006"/>
      <c r="J62" s="1890">
        <f>IF(SUM(J61:M61)&gt;100,1,0)</f>
        <v>0</v>
      </c>
      <c r="K62" s="1891"/>
      <c r="L62" s="1891"/>
      <c r="M62" s="1892"/>
      <c r="N62" s="185" t="s">
        <v>223</v>
      </c>
      <c r="O62" s="91"/>
      <c r="P62" s="1890">
        <f>IF(AND(VA_BESTANDSEINGABE=2,VA_ZUSAMMEN=0,R61&lt;P61),1,0)</f>
        <v>0</v>
      </c>
      <c r="Q62" s="1891"/>
      <c r="R62" s="1891"/>
      <c r="S62" s="2006"/>
      <c r="T62" s="1890">
        <f>IF(AND(VA_BESTANDSEINGABE=2,VA_ZUSAMMEN=0,SUM(T61:W61)&gt;100),1,0)</f>
        <v>0</v>
      </c>
      <c r="U62" s="1891"/>
      <c r="V62" s="1891"/>
      <c r="W62" s="1892"/>
    </row>
    <row r="63" spans="1:24" ht="18" customHeight="1" thickBot="1" x14ac:dyDescent="0.3">
      <c r="A63" s="2"/>
      <c r="B63" s="494"/>
      <c r="C63" s="494"/>
      <c r="D63" s="494"/>
      <c r="E63" s="494"/>
      <c r="F63" s="494"/>
      <c r="G63" s="494"/>
      <c r="P63" s="494"/>
      <c r="Q63" s="494"/>
    </row>
    <row r="64" spans="1:24" ht="18" customHeight="1" thickBot="1" x14ac:dyDescent="0.3">
      <c r="A64" s="2"/>
      <c r="B64" s="1899" t="s">
        <v>734</v>
      </c>
      <c r="C64" s="1900"/>
      <c r="D64" s="1900"/>
      <c r="E64" s="1901"/>
      <c r="F64" s="886" t="s">
        <v>231</v>
      </c>
      <c r="G64" s="883">
        <f>'C ▪ Ergebnisjustierung'!G142</f>
        <v>0</v>
      </c>
      <c r="H64" s="884" t="s">
        <v>735</v>
      </c>
      <c r="I64" s="887">
        <f>IF('C ▪ Ergebnisjustierung'!I147="",1,'C ▪ Ergebnisjustierung'!I147)</f>
        <v>1</v>
      </c>
      <c r="J64" s="884" t="s">
        <v>738</v>
      </c>
      <c r="K64" s="883">
        <f>ROUNDUP('C ▪ Ergebnisjustierung'!I142*I64,0)</f>
        <v>0</v>
      </c>
      <c r="L64" s="884" t="s">
        <v>104</v>
      </c>
      <c r="M64" s="885">
        <f>G64+K64</f>
        <v>0</v>
      </c>
      <c r="N64" s="882"/>
      <c r="O64" s="883"/>
      <c r="P64" s="886" t="s">
        <v>231</v>
      </c>
      <c r="Q64" s="883">
        <f>'C ▪ Ergebnisjustierung'!Q142</f>
        <v>0</v>
      </c>
      <c r="R64" s="884" t="s">
        <v>735</v>
      </c>
      <c r="S64" s="887">
        <f>IF('C ▪ Ergebnisjustierung'!S147="",1,'C ▪ Ergebnisjustierung'!S147)</f>
        <v>1</v>
      </c>
      <c r="T64" s="884" t="s">
        <v>738</v>
      </c>
      <c r="U64" s="883">
        <f>ROUNDUP('C ▪ Ergebnisjustierung'!S142*S64,0)</f>
        <v>0</v>
      </c>
      <c r="V64" s="884" t="s">
        <v>104</v>
      </c>
      <c r="W64" s="885">
        <f>Q64+U64</f>
        <v>0</v>
      </c>
    </row>
    <row r="65" spans="1:24" ht="18" customHeight="1" thickBot="1" x14ac:dyDescent="0.3">
      <c r="A65" s="2"/>
      <c r="B65" s="167"/>
      <c r="C65" s="167"/>
      <c r="D65" s="167"/>
      <c r="E65" s="167"/>
      <c r="F65" s="167"/>
      <c r="G65" s="167"/>
    </row>
    <row r="66" spans="1:24" ht="18" customHeight="1" x14ac:dyDescent="0.25">
      <c r="A66" s="2"/>
      <c r="B66" s="1893" t="s">
        <v>451</v>
      </c>
      <c r="C66" s="1894"/>
      <c r="D66" s="1894"/>
      <c r="E66" s="1894"/>
      <c r="F66" s="1894"/>
      <c r="G66" s="1895"/>
      <c r="H66" s="1898" t="s">
        <v>230</v>
      </c>
      <c r="I66" s="1897"/>
      <c r="J66" s="1898" t="s">
        <v>231</v>
      </c>
      <c r="K66" s="1897"/>
      <c r="L66" s="1898" t="s">
        <v>232</v>
      </c>
      <c r="M66" s="1902"/>
      <c r="N66" s="181"/>
      <c r="O66" s="994" t="s">
        <v>904</v>
      </c>
      <c r="P66" s="994">
        <v>500</v>
      </c>
      <c r="Q66" s="183"/>
      <c r="R66" s="1896" t="s">
        <v>230</v>
      </c>
      <c r="S66" s="1897"/>
      <c r="T66" s="1898" t="s">
        <v>231</v>
      </c>
      <c r="U66" s="1897"/>
      <c r="V66" s="1898" t="s">
        <v>232</v>
      </c>
      <c r="W66" s="1902"/>
    </row>
    <row r="67" spans="1:24" ht="18" customHeight="1" x14ac:dyDescent="0.25">
      <c r="A67" s="2"/>
      <c r="B67" s="1944" t="s">
        <v>233</v>
      </c>
      <c r="C67" s="1945"/>
      <c r="D67" s="1945"/>
      <c r="E67" s="1945"/>
      <c r="F67" s="1945"/>
      <c r="G67" s="1946"/>
      <c r="H67" s="190">
        <f>'C ▪ Ergebnisjustierung'!H156</f>
        <v>0</v>
      </c>
      <c r="I67" s="192">
        <f>'C ▪ Ergebnisjustierung'!H157</f>
        <v>0</v>
      </c>
      <c r="J67" s="190">
        <f>'C ▪ Ergebnisjustierung'!I156</f>
        <v>0</v>
      </c>
      <c r="K67" s="192">
        <f>'C ▪ Ergebnisjustierung'!I157</f>
        <v>0</v>
      </c>
      <c r="L67" s="190">
        <f>'C ▪ Ergebnisjustierung'!J156</f>
        <v>0</v>
      </c>
      <c r="M67" s="191">
        <f>'C ▪ Ergebnisjustierung'!J157</f>
        <v>0</v>
      </c>
      <c r="N67" s="87"/>
      <c r="O67" s="3"/>
      <c r="P67" s="3"/>
      <c r="Q67" s="48"/>
      <c r="R67" s="190">
        <f>'C ▪ Ergebnisjustierung'!R156</f>
        <v>0</v>
      </c>
      <c r="S67" s="192">
        <f>'C ▪ Ergebnisjustierung'!R157</f>
        <v>0</v>
      </c>
      <c r="T67" s="190">
        <f>'C ▪ Ergebnisjustierung'!S156</f>
        <v>0</v>
      </c>
      <c r="U67" s="192">
        <f>'C ▪ Ergebnisjustierung'!S157</f>
        <v>0</v>
      </c>
      <c r="V67" s="190">
        <f>'C ▪ Ergebnisjustierung'!T156</f>
        <v>0</v>
      </c>
      <c r="W67" s="191">
        <f>'C ▪ Ergebnisjustierung'!T157</f>
        <v>0</v>
      </c>
      <c r="X67" s="184"/>
    </row>
    <row r="68" spans="1:24" ht="18" customHeight="1" thickBot="1" x14ac:dyDescent="0.3">
      <c r="A68" s="2"/>
      <c r="B68" s="1947" t="s">
        <v>234</v>
      </c>
      <c r="C68" s="1948"/>
      <c r="D68" s="1948"/>
      <c r="E68" s="1948"/>
      <c r="F68" s="1948"/>
      <c r="G68" s="1949"/>
      <c r="H68" s="186">
        <f>IF(I67&gt;H67,1,0)</f>
        <v>0</v>
      </c>
      <c r="I68" s="193">
        <f>IF(I67&lt;H67,1,0)</f>
        <v>0</v>
      </c>
      <c r="J68" s="186">
        <f>IF(K67&gt;J67,1,0)</f>
        <v>0</v>
      </c>
      <c r="K68" s="193">
        <f>IF(K67&lt;J67,1,0)</f>
        <v>0</v>
      </c>
      <c r="L68" s="186">
        <f>IF(M67&gt;L67,1,0)</f>
        <v>0</v>
      </c>
      <c r="M68" s="193">
        <f>IF(M67&lt;L67,1,0)</f>
        <v>0</v>
      </c>
      <c r="N68" s="185" t="s">
        <v>234</v>
      </c>
      <c r="O68" s="90"/>
      <c r="P68" s="187"/>
      <c r="Q68" s="188"/>
      <c r="R68" s="186">
        <f>IF(AND(VA_BESTANDSEINGABE=2,VA_ZUSAMMEN=0,S67&gt;R67),1,0)</f>
        <v>0</v>
      </c>
      <c r="S68" s="193">
        <f>IF(AND(VA_BESTANDSEINGABE=2,VA_ZUSAMMEN=0,S67&lt;R67),1,0)</f>
        <v>0</v>
      </c>
      <c r="T68" s="186">
        <f>IF(AND(VA_BESTANDSEINGABE=2,VA_ZUSAMMEN=0,U67&gt;T67),1,0)</f>
        <v>0</v>
      </c>
      <c r="U68" s="193">
        <f>IF(AND(VA_BESTANDSEINGABE=2,VA_ZUSAMMEN=0,U67&lt;T67),1,0)</f>
        <v>0</v>
      </c>
      <c r="V68" s="186">
        <f>IF(AND(VA_BESTANDSEINGABE=2,VA_ZUSAMMEN=0,W67&gt;V67),1,0)</f>
        <v>0</v>
      </c>
      <c r="W68" s="194">
        <f>IF(AND(VA_BESTANDSEINGABE=2,VA_ZUSAMMEN=0,W67&lt;V67),1,0)</f>
        <v>0</v>
      </c>
    </row>
    <row r="69" spans="1:24" ht="18" customHeight="1" thickBot="1" x14ac:dyDescent="0.3">
      <c r="A69" s="2"/>
    </row>
    <row r="70" spans="1:24" ht="18" customHeight="1" x14ac:dyDescent="0.25">
      <c r="A70" s="2"/>
      <c r="B70" s="1928" t="s">
        <v>452</v>
      </c>
      <c r="C70" s="1929"/>
      <c r="D70" s="1929"/>
      <c r="E70" s="1929"/>
      <c r="F70" s="1929"/>
      <c r="G70" s="1929"/>
      <c r="H70" s="1898" t="s">
        <v>230</v>
      </c>
      <c r="I70" s="1897"/>
      <c r="J70" s="1898" t="s">
        <v>231</v>
      </c>
      <c r="K70" s="1897"/>
      <c r="L70" s="1898" t="s">
        <v>232</v>
      </c>
      <c r="M70" s="1902"/>
      <c r="N70" s="854" t="s">
        <v>742</v>
      </c>
      <c r="O70" s="855" t="s">
        <v>737</v>
      </c>
      <c r="P70" s="854" t="s">
        <v>742</v>
      </c>
      <c r="Q70" s="856" t="s">
        <v>737</v>
      </c>
      <c r="R70" s="1898" t="s">
        <v>230</v>
      </c>
      <c r="S70" s="1897"/>
      <c r="T70" s="1898" t="s">
        <v>231</v>
      </c>
      <c r="U70" s="1897"/>
      <c r="V70" s="1898" t="s">
        <v>232</v>
      </c>
      <c r="W70" s="1902"/>
    </row>
    <row r="71" spans="1:24" ht="18" customHeight="1" x14ac:dyDescent="0.25">
      <c r="A71" s="2"/>
      <c r="B71" s="87" t="s">
        <v>5</v>
      </c>
      <c r="C71" s="3"/>
      <c r="D71" s="1919" t="s">
        <v>153</v>
      </c>
      <c r="E71" s="1919"/>
      <c r="F71" s="1919"/>
      <c r="G71" s="1861"/>
      <c r="H71" s="1903">
        <f>'C ▪ Ergebnisjustierung'!H159</f>
        <v>0</v>
      </c>
      <c r="I71" s="1904"/>
      <c r="J71" s="1903">
        <f>'C ▪ Ergebnisjustierung'!I159</f>
        <v>0</v>
      </c>
      <c r="K71" s="1904"/>
      <c r="L71" s="1903">
        <f>'C ▪ Ergebnisjustierung'!J159</f>
        <v>0</v>
      </c>
      <c r="M71" s="1927"/>
      <c r="N71" s="620">
        <f>H71+L71</f>
        <v>0</v>
      </c>
      <c r="O71" s="135">
        <f>J71</f>
        <v>0</v>
      </c>
      <c r="P71" s="620">
        <f>R71+V71</f>
        <v>0</v>
      </c>
      <c r="Q71" s="134">
        <f>T71</f>
        <v>0</v>
      </c>
      <c r="R71" s="1903">
        <f>'C ▪ Ergebnisjustierung'!R159</f>
        <v>0</v>
      </c>
      <c r="S71" s="1904"/>
      <c r="T71" s="1903">
        <f>'C ▪ Ergebnisjustierung'!S159</f>
        <v>0</v>
      </c>
      <c r="U71" s="1904"/>
      <c r="V71" s="1903">
        <f>'C ▪ Ergebnisjustierung'!T159</f>
        <v>0</v>
      </c>
      <c r="W71" s="1927"/>
    </row>
    <row r="72" spans="1:24" ht="18" customHeight="1" x14ac:dyDescent="0.25">
      <c r="A72" s="2"/>
      <c r="B72" s="87" t="s">
        <v>299</v>
      </c>
      <c r="C72" s="3"/>
      <c r="D72" s="1919"/>
      <c r="E72" s="1919"/>
      <c r="F72" s="1919"/>
      <c r="G72" s="1861"/>
      <c r="H72" s="1910">
        <f>'C ▪ Ergebnisjustierung'!H160</f>
        <v>0</v>
      </c>
      <c r="I72" s="1911"/>
      <c r="J72" s="1910">
        <f>'C ▪ Ergebnisjustierung'!I160</f>
        <v>0</v>
      </c>
      <c r="K72" s="1911"/>
      <c r="L72" s="1910">
        <f>'C ▪ Ergebnisjustierung'!J160</f>
        <v>0</v>
      </c>
      <c r="M72" s="1912"/>
      <c r="N72" s="620">
        <f>H72+L72</f>
        <v>0</v>
      </c>
      <c r="O72" s="135">
        <f>J72</f>
        <v>0</v>
      </c>
      <c r="P72" s="620">
        <f>R72+V72</f>
        <v>0</v>
      </c>
      <c r="Q72" s="134">
        <f>T72</f>
        <v>0</v>
      </c>
      <c r="R72" s="1910">
        <f>'C ▪ Ergebnisjustierung'!R160</f>
        <v>0</v>
      </c>
      <c r="S72" s="1911"/>
      <c r="T72" s="1910">
        <f>'C ▪ Ergebnisjustierung'!S160</f>
        <v>0</v>
      </c>
      <c r="U72" s="1911"/>
      <c r="V72" s="1910">
        <f>'C ▪ Ergebnisjustierung'!T160</f>
        <v>0</v>
      </c>
      <c r="W72" s="1912"/>
    </row>
    <row r="73" spans="1:24" ht="18" customHeight="1" x14ac:dyDescent="0.25">
      <c r="A73" s="2"/>
      <c r="B73" s="87" t="s">
        <v>120</v>
      </c>
      <c r="C73" s="3"/>
      <c r="D73" s="1919"/>
      <c r="E73" s="1919"/>
      <c r="F73" s="1919"/>
      <c r="G73" s="1861"/>
      <c r="H73" s="1913">
        <f>'C ▪ Ergebnisjustierung'!H161</f>
        <v>0</v>
      </c>
      <c r="I73" s="1925"/>
      <c r="J73" s="1913">
        <f>'C ▪ Ergebnisjustierung'!I161</f>
        <v>0</v>
      </c>
      <c r="K73" s="1925"/>
      <c r="L73" s="1913">
        <f>'C ▪ Ergebnisjustierung'!J161</f>
        <v>0</v>
      </c>
      <c r="M73" s="1914"/>
      <c r="N73" s="620">
        <f>H73+L73</f>
        <v>0</v>
      </c>
      <c r="O73" s="135">
        <f>J73</f>
        <v>0</v>
      </c>
      <c r="P73" s="620">
        <f>R73+V73</f>
        <v>0</v>
      </c>
      <c r="Q73" s="134">
        <f>T73</f>
        <v>0</v>
      </c>
      <c r="R73" s="1913">
        <f>'C ▪ Ergebnisjustierung'!R161</f>
        <v>0</v>
      </c>
      <c r="S73" s="1925"/>
      <c r="T73" s="1913">
        <f>'C ▪ Ergebnisjustierung'!S161</f>
        <v>0</v>
      </c>
      <c r="U73" s="1925"/>
      <c r="V73" s="1913">
        <f>'C ▪ Ergebnisjustierung'!T161</f>
        <v>0</v>
      </c>
      <c r="W73" s="1914"/>
    </row>
    <row r="74" spans="1:24" ht="18" customHeight="1" x14ac:dyDescent="0.25">
      <c r="A74" s="2"/>
      <c r="B74" s="480" t="s">
        <v>718</v>
      </c>
      <c r="C74" s="479"/>
      <c r="D74" s="1920"/>
      <c r="E74" s="1920"/>
      <c r="F74" s="1920"/>
      <c r="G74" s="1862"/>
      <c r="H74" s="1922">
        <f>'C ▪ Ergebnisjustierung'!H162</f>
        <v>0</v>
      </c>
      <c r="I74" s="1923"/>
      <c r="J74" s="1922">
        <f>'C ▪ Ergebnisjustierung'!I162</f>
        <v>0</v>
      </c>
      <c r="K74" s="1923"/>
      <c r="L74" s="1922">
        <f>'C ▪ Ergebnisjustierung'!J162</f>
        <v>0</v>
      </c>
      <c r="M74" s="1924"/>
      <c r="N74" s="620">
        <f>H74+L74</f>
        <v>0</v>
      </c>
      <c r="O74" s="135">
        <f>J74</f>
        <v>0</v>
      </c>
      <c r="P74" s="620">
        <f>R74+V74</f>
        <v>0</v>
      </c>
      <c r="Q74" s="134">
        <f>T74</f>
        <v>0</v>
      </c>
      <c r="R74" s="1922">
        <f>'C ▪ Ergebnisjustierung'!R162</f>
        <v>0</v>
      </c>
      <c r="S74" s="1923"/>
      <c r="T74" s="1922">
        <f>'C ▪ Ergebnisjustierung'!S162</f>
        <v>0</v>
      </c>
      <c r="U74" s="1923"/>
      <c r="V74" s="1922">
        <f>'C ▪ Ergebnisjustierung'!T162</f>
        <v>0</v>
      </c>
      <c r="W74" s="1924"/>
    </row>
    <row r="75" spans="1:24" ht="18" customHeight="1" x14ac:dyDescent="0.25">
      <c r="A75" s="2"/>
      <c r="B75" s="482" t="s">
        <v>228</v>
      </c>
      <c r="C75" s="481"/>
      <c r="D75" s="481"/>
      <c r="E75" s="481"/>
      <c r="F75" s="481"/>
      <c r="G75" s="481"/>
      <c r="H75" s="1905"/>
      <c r="I75" s="1907"/>
      <c r="J75" s="1908">
        <f>'C ▪ Ergebnisjustierung'!I163</f>
        <v>0</v>
      </c>
      <c r="K75" s="1909"/>
      <c r="L75" s="1905"/>
      <c r="M75" s="1906"/>
      <c r="N75" s="621"/>
      <c r="O75" s="583">
        <f>J75</f>
        <v>0</v>
      </c>
      <c r="P75" s="621"/>
      <c r="Q75" s="54">
        <f>T75</f>
        <v>0</v>
      </c>
      <c r="R75" s="1917"/>
      <c r="S75" s="1918"/>
      <c r="T75" s="1908">
        <f>'C ▪ Ergebnisjustierung'!S163</f>
        <v>0</v>
      </c>
      <c r="U75" s="1909"/>
      <c r="V75" s="1905"/>
      <c r="W75" s="1906"/>
    </row>
    <row r="76" spans="1:24" ht="18" customHeight="1" x14ac:dyDescent="0.25">
      <c r="A76" s="2"/>
      <c r="B76" s="87" t="s">
        <v>5</v>
      </c>
      <c r="C76" s="3"/>
      <c r="D76" s="1921" t="s">
        <v>152</v>
      </c>
      <c r="E76" s="1921"/>
      <c r="F76" s="1921"/>
      <c r="G76" s="1860"/>
      <c r="H76" s="1915">
        <f>'C ▪ Ergebnisjustierung'!H164</f>
        <v>0</v>
      </c>
      <c r="I76" s="1916"/>
      <c r="J76" s="1917"/>
      <c r="K76" s="1918"/>
      <c r="L76" s="1917"/>
      <c r="M76" s="1926"/>
      <c r="N76" s="620">
        <f>H76</f>
        <v>0</v>
      </c>
      <c r="O76" s="135" t="s">
        <v>739</v>
      </c>
      <c r="P76" s="620">
        <f>R76</f>
        <v>0</v>
      </c>
      <c r="Q76" s="134" t="s">
        <v>739</v>
      </c>
      <c r="R76" s="1903">
        <f>'C ▪ Ergebnisjustierung'!R164</f>
        <v>0</v>
      </c>
      <c r="S76" s="1904"/>
      <c r="T76" s="1905"/>
      <c r="U76" s="1907"/>
      <c r="V76" s="1905"/>
      <c r="W76" s="1906"/>
    </row>
    <row r="77" spans="1:24" ht="18" customHeight="1" x14ac:dyDescent="0.25">
      <c r="A77" s="2"/>
      <c r="B77" s="87" t="s">
        <v>299</v>
      </c>
      <c r="C77" s="3"/>
      <c r="D77" s="1919"/>
      <c r="E77" s="1919"/>
      <c r="F77" s="1919"/>
      <c r="G77" s="1861"/>
      <c r="H77" s="1910">
        <f>'C ▪ Ergebnisjustierung'!H165</f>
        <v>0</v>
      </c>
      <c r="I77" s="1911"/>
      <c r="J77" s="1905"/>
      <c r="K77" s="1907"/>
      <c r="L77" s="1905"/>
      <c r="M77" s="1906"/>
      <c r="N77" s="620">
        <f>H77</f>
        <v>0</v>
      </c>
      <c r="O77" s="1963">
        <f>K64</f>
        <v>0</v>
      </c>
      <c r="P77" s="620">
        <f>R77</f>
        <v>0</v>
      </c>
      <c r="Q77" s="1965">
        <f>U64</f>
        <v>0</v>
      </c>
      <c r="R77" s="1910">
        <f>'C ▪ Ergebnisjustierung'!R165</f>
        <v>0</v>
      </c>
      <c r="S77" s="1911"/>
      <c r="T77" s="1905"/>
      <c r="U77" s="1907"/>
      <c r="V77" s="1905"/>
      <c r="W77" s="1906"/>
    </row>
    <row r="78" spans="1:24" ht="18" customHeight="1" x14ac:dyDescent="0.25">
      <c r="A78" s="2"/>
      <c r="B78" s="87" t="s">
        <v>120</v>
      </c>
      <c r="C78" s="3"/>
      <c r="D78" s="1919"/>
      <c r="E78" s="1919"/>
      <c r="F78" s="1919"/>
      <c r="G78" s="1861"/>
      <c r="H78" s="1913">
        <f>'C ▪ Ergebnisjustierung'!H166</f>
        <v>0</v>
      </c>
      <c r="I78" s="1925"/>
      <c r="J78" s="1905"/>
      <c r="K78" s="1907"/>
      <c r="L78" s="1905"/>
      <c r="M78" s="1906"/>
      <c r="N78" s="620">
        <f>H78</f>
        <v>0</v>
      </c>
      <c r="O78" s="1963"/>
      <c r="P78" s="620">
        <f>R78</f>
        <v>0</v>
      </c>
      <c r="Q78" s="1965"/>
      <c r="R78" s="1913">
        <f>'C ▪ Ergebnisjustierung'!R166</f>
        <v>0</v>
      </c>
      <c r="S78" s="1925"/>
      <c r="T78" s="1905"/>
      <c r="U78" s="1907"/>
      <c r="V78" s="1905"/>
      <c r="W78" s="1906"/>
    </row>
    <row r="79" spans="1:24" ht="18" customHeight="1" x14ac:dyDescent="0.25">
      <c r="A79" s="2"/>
      <c r="B79" s="480" t="s">
        <v>718</v>
      </c>
      <c r="C79" s="479"/>
      <c r="D79" s="1920"/>
      <c r="E79" s="1920"/>
      <c r="F79" s="1920"/>
      <c r="G79" s="1862"/>
      <c r="H79" s="1922">
        <f>'C ▪ Ergebnisjustierung'!H167</f>
        <v>0</v>
      </c>
      <c r="I79" s="1923"/>
      <c r="J79" s="851"/>
      <c r="K79" s="852"/>
      <c r="L79" s="851"/>
      <c r="M79" s="853"/>
      <c r="N79" s="620">
        <f>H79</f>
        <v>0</v>
      </c>
      <c r="O79" s="1964"/>
      <c r="P79" s="620">
        <f>R79</f>
        <v>0</v>
      </c>
      <c r="Q79" s="1966"/>
      <c r="R79" s="1922">
        <f>'C ▪ Ergebnisjustierung'!R167</f>
        <v>0</v>
      </c>
      <c r="S79" s="1923"/>
      <c r="T79" s="851"/>
      <c r="U79" s="852"/>
      <c r="V79" s="851"/>
      <c r="W79" s="853"/>
    </row>
    <row r="80" spans="1:24" ht="18" customHeight="1" thickBot="1" x14ac:dyDescent="0.3">
      <c r="A80" s="2"/>
      <c r="B80" s="89" t="s">
        <v>295</v>
      </c>
      <c r="C80" s="90"/>
      <c r="D80" s="90"/>
      <c r="E80" s="90"/>
      <c r="F80" s="90"/>
      <c r="G80" s="90"/>
      <c r="H80" s="1967">
        <f>'C ▪ Ergebnisjustierung'!H168</f>
        <v>0</v>
      </c>
      <c r="I80" s="1968"/>
      <c r="J80" s="1961"/>
      <c r="K80" s="1969"/>
      <c r="L80" s="1961"/>
      <c r="M80" s="1962"/>
      <c r="N80" s="891">
        <f>SUM(N71:N79)-O77</f>
        <v>0</v>
      </c>
      <c r="O80" s="889">
        <f>SUM(O71:O75)+O77</f>
        <v>0</v>
      </c>
      <c r="P80" s="891">
        <f>SUM(P71:P79)-Q77</f>
        <v>0</v>
      </c>
      <c r="Q80" s="890">
        <f>SUM(Q71:Q75)+Q77</f>
        <v>0</v>
      </c>
      <c r="R80" s="1967">
        <f>'C ▪ Ergebnisjustierung'!R168</f>
        <v>0</v>
      </c>
      <c r="S80" s="1968"/>
      <c r="T80" s="1961"/>
      <c r="U80" s="1969"/>
      <c r="V80" s="1961"/>
      <c r="W80" s="1962"/>
    </row>
    <row r="81" spans="1:23" ht="18" customHeight="1" thickBot="1" x14ac:dyDescent="0.3">
      <c r="A81" s="2"/>
      <c r="N81" s="200" t="s">
        <v>740</v>
      </c>
      <c r="O81" s="200" t="s">
        <v>741</v>
      </c>
      <c r="P81" s="200" t="s">
        <v>740</v>
      </c>
      <c r="Q81" s="200" t="s">
        <v>741</v>
      </c>
    </row>
    <row r="82" spans="1:23" ht="18" customHeight="1" x14ac:dyDescent="0.25">
      <c r="A82" s="2"/>
      <c r="B82" s="1928" t="s">
        <v>453</v>
      </c>
      <c r="C82" s="1929"/>
      <c r="D82" s="1929"/>
      <c r="E82" s="1929"/>
      <c r="F82" s="1929"/>
      <c r="G82" s="1929"/>
      <c r="H82" s="483"/>
      <c r="I82" s="483"/>
      <c r="J82" s="483"/>
      <c r="K82" s="483"/>
      <c r="L82" s="483"/>
      <c r="M82" s="484"/>
      <c r="N82" s="483"/>
      <c r="O82" s="483"/>
      <c r="P82" s="483"/>
      <c r="Q82" s="483"/>
      <c r="R82" s="483"/>
      <c r="S82" s="483"/>
      <c r="T82" s="483"/>
      <c r="U82" s="483"/>
      <c r="V82" s="483"/>
      <c r="W82" s="484"/>
    </row>
    <row r="83" spans="1:23" ht="18" customHeight="1" x14ac:dyDescent="0.25">
      <c r="A83" s="177"/>
      <c r="B83" s="2013" t="s">
        <v>324</v>
      </c>
      <c r="C83" s="2013"/>
      <c r="D83" s="2013"/>
      <c r="E83" s="2013"/>
      <c r="F83" s="2013"/>
      <c r="G83" s="2013"/>
      <c r="H83" s="2013"/>
      <c r="I83" s="2013"/>
      <c r="J83" s="2013"/>
      <c r="K83" s="1903">
        <f>H71+J71+L71+H76</f>
        <v>0</v>
      </c>
      <c r="L83" s="1970"/>
      <c r="M83" s="1927"/>
      <c r="N83" s="3"/>
      <c r="O83" s="3"/>
      <c r="P83" s="3"/>
      <c r="Q83" s="3"/>
      <c r="R83" s="3"/>
      <c r="S83" s="3"/>
      <c r="T83" s="3"/>
      <c r="U83" s="1903">
        <f>R71+T71+V71+R76</f>
        <v>0</v>
      </c>
      <c r="V83" s="1970"/>
      <c r="W83" s="1927"/>
    </row>
    <row r="84" spans="1:23" ht="18" customHeight="1" x14ac:dyDescent="0.25">
      <c r="A84" s="177"/>
      <c r="B84" s="2013" t="s">
        <v>326</v>
      </c>
      <c r="C84" s="2013"/>
      <c r="D84" s="2013"/>
      <c r="E84" s="2013"/>
      <c r="F84" s="2013"/>
      <c r="G84" s="2013"/>
      <c r="H84" s="2013"/>
      <c r="I84" s="2013"/>
      <c r="J84" s="2013"/>
      <c r="K84" s="1910">
        <f>H72+J72+L72+H77</f>
        <v>0</v>
      </c>
      <c r="L84" s="1971"/>
      <c r="M84" s="1912"/>
      <c r="N84" s="3"/>
      <c r="O84" s="3"/>
      <c r="P84" s="3"/>
      <c r="Q84" s="3"/>
      <c r="R84" s="3"/>
      <c r="S84" s="3"/>
      <c r="T84" s="3"/>
      <c r="U84" s="1910">
        <f>R72+T72+V72+R77</f>
        <v>0</v>
      </c>
      <c r="V84" s="1971"/>
      <c r="W84" s="1912"/>
    </row>
    <row r="85" spans="1:23" ht="18" customHeight="1" x14ac:dyDescent="0.25">
      <c r="A85" s="177"/>
      <c r="B85" s="2013" t="s">
        <v>327</v>
      </c>
      <c r="C85" s="2013"/>
      <c r="D85" s="2013"/>
      <c r="E85" s="2013"/>
      <c r="F85" s="2013"/>
      <c r="G85" s="2013"/>
      <c r="H85" s="2013"/>
      <c r="I85" s="2013"/>
      <c r="J85" s="2013"/>
      <c r="K85" s="1913">
        <f>H73+J73+L73+H78</f>
        <v>0</v>
      </c>
      <c r="L85" s="2007"/>
      <c r="M85" s="1914"/>
      <c r="N85" s="3"/>
      <c r="O85" s="3"/>
      <c r="P85" s="3"/>
      <c r="Q85" s="3"/>
      <c r="R85" s="3"/>
      <c r="S85" s="3"/>
      <c r="T85" s="3"/>
      <c r="U85" s="1913">
        <f>R73+T73+V73+R78</f>
        <v>0</v>
      </c>
      <c r="V85" s="2007"/>
      <c r="W85" s="1914"/>
    </row>
    <row r="86" spans="1:23" ht="18" customHeight="1" x14ac:dyDescent="0.25">
      <c r="A86" s="177"/>
      <c r="B86" s="845" t="s">
        <v>720</v>
      </c>
      <c r="C86" s="845"/>
      <c r="D86" s="845"/>
      <c r="E86" s="845"/>
      <c r="F86" s="845"/>
      <c r="G86" s="845"/>
      <c r="H86" s="845"/>
      <c r="I86" s="845"/>
      <c r="J86" s="845"/>
      <c r="K86" s="1922">
        <f>H79+H74+J74+L74</f>
        <v>0</v>
      </c>
      <c r="L86" s="2017"/>
      <c r="M86" s="1924"/>
      <c r="N86" s="3"/>
      <c r="O86" s="3"/>
      <c r="P86" s="3"/>
      <c r="Q86" s="3"/>
      <c r="R86" s="3"/>
      <c r="S86" s="3"/>
      <c r="T86" s="3"/>
      <c r="U86" s="1922">
        <f>R79+R74+T74+V74</f>
        <v>0</v>
      </c>
      <c r="V86" s="2017"/>
      <c r="W86" s="1924"/>
    </row>
    <row r="87" spans="1:23" ht="18" customHeight="1" thickBot="1" x14ac:dyDescent="0.3">
      <c r="A87" s="177"/>
      <c r="B87" s="2014" t="s">
        <v>228</v>
      </c>
      <c r="C87" s="2015"/>
      <c r="D87" s="2015"/>
      <c r="E87" s="2015"/>
      <c r="F87" s="2015"/>
      <c r="G87" s="2015"/>
      <c r="H87" s="2015"/>
      <c r="I87" s="2015"/>
      <c r="J87" s="2016"/>
      <c r="K87" s="2008">
        <f>J75</f>
        <v>0</v>
      </c>
      <c r="L87" s="2008"/>
      <c r="M87" s="2009"/>
      <c r="N87" s="90"/>
      <c r="O87" s="90"/>
      <c r="P87" s="90"/>
      <c r="Q87" s="90"/>
      <c r="R87" s="90"/>
      <c r="S87" s="90"/>
      <c r="T87" s="90"/>
      <c r="U87" s="2010">
        <f>T75</f>
        <v>0</v>
      </c>
      <c r="V87" s="2011"/>
      <c r="W87" s="2012"/>
    </row>
    <row r="88" spans="1:23" ht="18" customHeight="1" x14ac:dyDescent="0.25">
      <c r="A88" s="2"/>
    </row>
    <row r="89" spans="1:23" ht="18" customHeight="1" x14ac:dyDescent="0.25">
      <c r="A89" s="2"/>
    </row>
    <row r="90" spans="1:23" s="4" customFormat="1" ht="18" customHeight="1" x14ac:dyDescent="0.25">
      <c r="A90" s="8"/>
      <c r="B90" s="66" t="s">
        <v>122</v>
      </c>
    </row>
    <row r="92" spans="1:23" ht="18" customHeight="1" x14ac:dyDescent="0.25">
      <c r="B92" s="12" t="s">
        <v>50</v>
      </c>
    </row>
    <row r="93" spans="1:23" ht="18" customHeight="1" x14ac:dyDescent="0.25">
      <c r="B93" s="6" t="str">
        <f>IF(
OR(VE_VERKEHRSSTATION="",VE_VERKEHRSSTATION=B94),"",
TRIM(VE_VERKEHRSSTATION))</f>
        <v/>
      </c>
    </row>
    <row r="94" spans="1:23" ht="18" customHeight="1" x14ac:dyDescent="0.25">
      <c r="B94" s="77" t="s">
        <v>141</v>
      </c>
    </row>
    <row r="95" spans="1:23" ht="18" customHeight="1" x14ac:dyDescent="0.25">
      <c r="B95" s="12" t="s">
        <v>51</v>
      </c>
    </row>
    <row r="96" spans="1:23" ht="18" customHeight="1" x14ac:dyDescent="0.25">
      <c r="B96" s="6" t="str">
        <f>IF(
OR(VE_ZUGANG_1="",LEFT(VE_ZUGANG_1,10)=LEFT(B97,10)),"",
TRIM(VE_ZUGANG_1))</f>
        <v/>
      </c>
    </row>
    <row r="97" spans="1:22" ht="18" customHeight="1" x14ac:dyDescent="0.25">
      <c r="B97" s="77" t="s">
        <v>282</v>
      </c>
    </row>
    <row r="98" spans="1:22" ht="18" customHeight="1" x14ac:dyDescent="0.25">
      <c r="B98" s="12" t="s">
        <v>52</v>
      </c>
    </row>
    <row r="99" spans="1:22" ht="18" customHeight="1" x14ac:dyDescent="0.25">
      <c r="B99" s="6" t="str">
        <f>IF(
OR(VE_ZUGANG_2="",LEFT(VE_ZUGANG_2,10)=LEFT(B100,10)),"",
TRIM(VE_ZUGANG_2))</f>
        <v/>
      </c>
    </row>
    <row r="100" spans="1:22" ht="18" customHeight="1" x14ac:dyDescent="0.25">
      <c r="B100" s="77" t="s">
        <v>282</v>
      </c>
    </row>
    <row r="103" spans="1:22" ht="18" customHeight="1" x14ac:dyDescent="0.25">
      <c r="B103" s="83" t="s">
        <v>12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</row>
    <row r="105" spans="1:22" ht="18" customHeight="1" x14ac:dyDescent="0.25">
      <c r="B105" s="12" t="s">
        <v>75</v>
      </c>
      <c r="D105" s="12" t="s">
        <v>76</v>
      </c>
      <c r="F105" s="12" t="s">
        <v>180</v>
      </c>
      <c r="H105" s="12" t="s">
        <v>181</v>
      </c>
      <c r="J105" s="12" t="s">
        <v>182</v>
      </c>
      <c r="L105" s="12" t="s">
        <v>77</v>
      </c>
      <c r="N105" s="12" t="s">
        <v>78</v>
      </c>
      <c r="P105" s="12" t="s">
        <v>79</v>
      </c>
      <c r="R105" s="12" t="s">
        <v>80</v>
      </c>
      <c r="T105" s="12" t="s">
        <v>81</v>
      </c>
      <c r="V105" s="12" t="s">
        <v>86</v>
      </c>
    </row>
    <row r="106" spans="1:22" ht="18" customHeight="1" x14ac:dyDescent="0.25">
      <c r="B106" s="13" t="str">
        <f>IF(VP_0_EAHEUTE=0,"",VP_0_EAHEUTE)</f>
        <v/>
      </c>
      <c r="C106" s="11"/>
      <c r="D106" s="13" t="str">
        <f>IF(VP_1_DBEA2040="","",VP_1_DBEA2040)</f>
        <v/>
      </c>
      <c r="E106" s="11"/>
      <c r="F106" s="13" t="str">
        <f>IF(VP_2_RVJAHR="","",VP_2_RVJAHR)</f>
        <v/>
      </c>
      <c r="G106" s="3"/>
      <c r="H106" s="13" t="str">
        <f>IF(VP_2_RVEA="","",VP_2_RVEA)</f>
        <v/>
      </c>
      <c r="I106" s="3"/>
      <c r="J106" s="13" t="str">
        <f>IF(VP_2_RVTF="","",VP_2_RVTF)</f>
        <v/>
      </c>
      <c r="K106" s="11"/>
      <c r="L106" s="13" t="str">
        <f>IF(VP_3_BVHEUTE="","",VP_3_BVHEUTE)</f>
        <v/>
      </c>
      <c r="M106" s="3"/>
      <c r="N106" s="13" t="str">
        <f>IF(VP_3_BVJAHR="","",VP_3_BVJAHR)</f>
        <v/>
      </c>
      <c r="O106" s="3"/>
      <c r="P106" s="13" t="str">
        <f>IF(VP_3_BVZUKUNFT="","",VP_3_BVZUKUNFT)</f>
        <v/>
      </c>
      <c r="Q106" s="3"/>
      <c r="R106" s="13" t="str">
        <f>IF(VP_3_BVTF="","",VP_3_BVTF)</f>
        <v/>
      </c>
      <c r="S106" s="3"/>
      <c r="T106" s="13">
        <f>VP_3_UVB</f>
        <v>1</v>
      </c>
      <c r="U106" s="11"/>
      <c r="V106" s="13" t="str">
        <f>IF(VP_4_METF="","",VP_4_METF)</f>
        <v/>
      </c>
    </row>
    <row r="107" spans="1:22" ht="18" customHeight="1" x14ac:dyDescent="0.25">
      <c r="A107" s="149" t="s">
        <v>90</v>
      </c>
      <c r="B107" s="150">
        <f>IF(AND(VA_TFAUSWAHL&lt;3,VA_TFAUSWAHL&gt;0,B106=""),1,0)</f>
        <v>0</v>
      </c>
      <c r="C107" s="153"/>
      <c r="D107" s="150">
        <f>IF(D106="",1,0)</f>
        <v>1</v>
      </c>
      <c r="E107" s="153"/>
      <c r="F107" s="150">
        <f>IF(F106="",1,0)</f>
        <v>1</v>
      </c>
      <c r="G107" s="154"/>
      <c r="H107" s="150">
        <f>IF(OR(AND(H106&lt;&gt;"",J106=""),AND(H106="",J106&lt;&gt;"")),0,1)</f>
        <v>1</v>
      </c>
      <c r="I107" s="154"/>
      <c r="J107" s="150" t="s">
        <v>67</v>
      </c>
      <c r="K107" s="153"/>
      <c r="L107" s="150">
        <f>IF(L106="",1,0)</f>
        <v>1</v>
      </c>
      <c r="M107" s="154"/>
      <c r="N107" s="150">
        <f>IF(N106="",1,0)</f>
        <v>1</v>
      </c>
      <c r="O107" s="154"/>
      <c r="P107" s="150">
        <f>IF(OR(AND(P106&lt;&gt;"",R106=""),AND(P106="",R106&lt;&gt;"")),0,1)</f>
        <v>1</v>
      </c>
      <c r="Q107" s="154"/>
      <c r="R107" s="150" t="s">
        <v>67</v>
      </c>
      <c r="S107" s="154"/>
      <c r="T107" s="149"/>
      <c r="U107" s="153"/>
      <c r="V107" s="150">
        <f>IF(V106="",1,0)</f>
        <v>1</v>
      </c>
    </row>
    <row r="108" spans="1:22" ht="18" customHeight="1" x14ac:dyDescent="0.25">
      <c r="A108" s="147"/>
      <c r="B108" s="147"/>
      <c r="C108" s="148"/>
      <c r="D108" s="147"/>
      <c r="E108" s="148"/>
      <c r="F108" s="147"/>
      <c r="G108" s="148"/>
      <c r="H108" s="147"/>
      <c r="I108" s="148"/>
      <c r="J108" s="147"/>
      <c r="K108" s="148"/>
      <c r="L108" s="147"/>
      <c r="M108" s="148"/>
      <c r="N108" s="147"/>
      <c r="O108" s="148"/>
      <c r="P108" s="147"/>
      <c r="Q108" s="148"/>
      <c r="R108" s="147"/>
      <c r="S108" s="148"/>
      <c r="T108" s="147"/>
      <c r="U108" s="148"/>
      <c r="V108" s="147"/>
    </row>
    <row r="109" spans="1:22" ht="18" customHeight="1" x14ac:dyDescent="0.25">
      <c r="B109" s="12" t="s">
        <v>87</v>
      </c>
      <c r="D109" s="12" t="s">
        <v>88</v>
      </c>
      <c r="F109" s="12" t="s">
        <v>89</v>
      </c>
      <c r="H109" s="12" t="s">
        <v>205</v>
      </c>
    </row>
    <row r="110" spans="1:22" ht="18" customHeight="1" x14ac:dyDescent="0.25">
      <c r="B110" s="13">
        <f>IF(VE_5_DIEBSTAHL="ja",1.15,1)</f>
        <v>1</v>
      </c>
      <c r="D110" s="13">
        <f>IF(VE_5_ENTGELTFREI="ja",1.15,1)</f>
        <v>1</v>
      </c>
      <c r="F110" s="13">
        <f>IF(VE_5_PENDLER="ja",1.15,1)</f>
        <v>1</v>
      </c>
      <c r="H110" s="13">
        <f>IF(AND(VE_5_ERSTMALIGSICHER="ja",VP_5_SICH_BESTAND_VORHANDEN=0),1,0)</f>
        <v>0</v>
      </c>
    </row>
    <row r="113" spans="1:21" ht="18" customHeight="1" x14ac:dyDescent="0.25">
      <c r="B113" s="80" t="s">
        <v>91</v>
      </c>
      <c r="C113" s="79" t="s">
        <v>92</v>
      </c>
      <c r="D113" s="79" t="s">
        <v>93</v>
      </c>
      <c r="E113" s="79" t="s">
        <v>94</v>
      </c>
      <c r="F113" s="79" t="s">
        <v>95</v>
      </c>
    </row>
    <row r="114" spans="1:21" ht="18" customHeight="1" x14ac:dyDescent="0.25">
      <c r="A114" s="13">
        <f>VA_TFAUSWAHL</f>
        <v>0</v>
      </c>
      <c r="B114" s="81" t="str">
        <f>CHOOSE(A114+1,"",C114,D114,E114,F114)</f>
        <v/>
      </c>
      <c r="C114" s="78" t="str">
        <f>IF(
OR(B107=1,D107=1),"F",
IFERROR(ROUND(D106/B106,3),"F"))</f>
        <v>F</v>
      </c>
      <c r="D114" s="78" t="str">
        <f>IF(
OR(B107=1,F107=1,H107=1),"F",IF(
H106="",IFERROR(ROUND(1+(J106/100),3),"F"),IF(
J106="",IFERROR(ROUND(H106/B106,3),"F"),
"F")))</f>
        <v>F</v>
      </c>
      <c r="E114" s="78" t="str">
        <f>IF(
OR(L107=1,N107=1,P107=1),"F",IF(
P106="",IFERROR(ROUND(1+(R106/100),3),"F"),IF(
R106="",IFERROR(ROUND(P106/L106,3),"F"),
"F")))</f>
        <v>F</v>
      </c>
      <c r="F114" s="78" t="str">
        <f>IF(
V107=1,"F",
IFERROR(ROUND(1+(V106/100),3),"F"))</f>
        <v>F</v>
      </c>
    </row>
    <row r="115" spans="1:21" ht="18" customHeight="1" x14ac:dyDescent="0.25">
      <c r="C115" s="1935" t="s">
        <v>159</v>
      </c>
      <c r="D115" s="1935"/>
      <c r="E115" s="1935"/>
      <c r="F115" s="1935"/>
    </row>
    <row r="118" spans="1:21" s="4" customFormat="1" ht="18" customHeight="1" x14ac:dyDescent="0.25">
      <c r="A118" s="10"/>
      <c r="B118" s="66" t="s">
        <v>123</v>
      </c>
    </row>
    <row r="119" spans="1:21" ht="18" customHeight="1" thickBot="1" x14ac:dyDescent="0.3"/>
    <row r="120" spans="1:21" ht="18" customHeight="1" thickBot="1" x14ac:dyDescent="0.3">
      <c r="B120" s="12" t="s">
        <v>165</v>
      </c>
      <c r="I120" s="152" t="s">
        <v>178</v>
      </c>
      <c r="J120" s="141"/>
      <c r="K120" s="142" t="s">
        <v>169</v>
      </c>
      <c r="L120" s="142" t="s">
        <v>170</v>
      </c>
      <c r="M120" s="157" t="s">
        <v>171</v>
      </c>
      <c r="N120" s="157" t="s">
        <v>172</v>
      </c>
      <c r="O120" s="142" t="s">
        <v>173</v>
      </c>
      <c r="P120" s="142" t="s">
        <v>191</v>
      </c>
      <c r="Q120" s="452" t="s">
        <v>192</v>
      </c>
      <c r="R120" s="157" t="s">
        <v>429</v>
      </c>
      <c r="S120" s="142" t="s">
        <v>433</v>
      </c>
      <c r="T120" s="142" t="s">
        <v>434</v>
      </c>
      <c r="U120" s="143" t="s">
        <v>434</v>
      </c>
    </row>
    <row r="121" spans="1:21" ht="18" customHeight="1" thickBot="1" x14ac:dyDescent="0.3">
      <c r="B121" s="93">
        <f>IF(SUM(K124:M124)=0,0,1)</f>
        <v>1</v>
      </c>
      <c r="I121" s="144"/>
      <c r="J121" s="3"/>
      <c r="K121" s="137">
        <f>IF(R39&gt;0,1,0)</f>
        <v>0</v>
      </c>
      <c r="L121" s="137">
        <f>IF(W52&gt;0,1,0)</f>
        <v>0</v>
      </c>
      <c r="M121" s="137">
        <f>IF(VA_TF="F",1,0)</f>
        <v>0</v>
      </c>
      <c r="N121" s="137">
        <f>F62+P62</f>
        <v>0</v>
      </c>
      <c r="O121" s="137">
        <f>J62+T62</f>
        <v>0</v>
      </c>
      <c r="P121" s="158">
        <f>H68+J68+L68+R68+T68+V68</f>
        <v>0</v>
      </c>
      <c r="Q121" s="453">
        <f>I68+K68+M68+S68+U68+W68</f>
        <v>0</v>
      </c>
      <c r="R121" s="454">
        <f>IF(OR(
AND(R122=1,'D ▪ Kostenanalyse'!M51&gt;SUM('D ▪ Kostenanalyse'!N48:'D ▪ Kostenanalyse'!N50)),
AND(R122=2,'D ▪ Kostenanalyse'!M51&gt;SUM('D ▪ Kostenanalyse'!M48:'D ▪ Kostenanalyse'!M50)),
AND(R122=2,SUM('D ▪ Kostenanalyse'!M48:'D ▪ Kostenanalyse'!M50)&gt;'D ▪ Kostenanalyse'!M47)),
1,0)</f>
        <v>0</v>
      </c>
      <c r="S121" s="457">
        <f>IF(('D ▪ Kostenanalyse'!S110+'D ▪ Kostenanalyse'!S112)&gt;'D ▪ Kostenanalyse'!S88,1,0)</f>
        <v>0</v>
      </c>
      <c r="T121" s="457">
        <f>IF('D ▪ Kostenanalyse'!Q120&gt;'D ▪ Kostenanalyse'!S119,1,0)</f>
        <v>0</v>
      </c>
      <c r="U121" s="458">
        <f>IF(('D ▪ Kostenanalyse'!M156+'D ▪ Kostenanalyse'!M157+'D ▪ Kostenanalyse'!M158)&gt;'D ▪ Kostenanalyse'!M155,1,0)</f>
        <v>0</v>
      </c>
    </row>
    <row r="122" spans="1:21" ht="18" customHeight="1" x14ac:dyDescent="0.25">
      <c r="I122" s="144"/>
      <c r="J122" s="145" t="s">
        <v>167</v>
      </c>
      <c r="K122" s="138">
        <f>IF(VA_BESTANDSEINGABE=0,1,0)</f>
        <v>1</v>
      </c>
      <c r="L122" s="138">
        <f>IF(VA_BESTANDSEINGABE=0,1,0)</f>
        <v>1</v>
      </c>
      <c r="M122" s="138">
        <f>IF(VA_BESTANDSEINGABE=0,1,0)</f>
        <v>1</v>
      </c>
      <c r="N122" s="165"/>
      <c r="O122" s="166"/>
      <c r="P122" s="1997" t="s">
        <v>431</v>
      </c>
      <c r="Q122" s="1998"/>
      <c r="R122" s="2004">
        <f>VA_KOSTENANALYSE</f>
        <v>1</v>
      </c>
      <c r="S122" s="2004">
        <f>VA_KOSTENANALYSE</f>
        <v>1</v>
      </c>
      <c r="T122" s="2004">
        <f>VA_KOSTENANALYSE</f>
        <v>1</v>
      </c>
      <c r="U122" s="2001">
        <f>VA_KOSTENANALYSE</f>
        <v>1</v>
      </c>
    </row>
    <row r="123" spans="1:21" ht="18" customHeight="1" thickBot="1" x14ac:dyDescent="0.3">
      <c r="B123" s="12" t="s">
        <v>189</v>
      </c>
      <c r="E123" s="12" t="s">
        <v>428</v>
      </c>
      <c r="I123" s="144"/>
      <c r="J123" s="145" t="s">
        <v>168</v>
      </c>
      <c r="K123" s="139">
        <f>IF(VA_TFAUSWAHL=0,1,0)</f>
        <v>1</v>
      </c>
      <c r="L123" s="139">
        <f>IF(VA_TFAUSWAHL=0,1,0)</f>
        <v>1</v>
      </c>
      <c r="M123" s="139">
        <f>IF(VA_TFAUSWAHL=0,1,0)</f>
        <v>1</v>
      </c>
      <c r="N123" s="163"/>
      <c r="O123" s="164"/>
      <c r="P123" s="1999"/>
      <c r="Q123" s="2000"/>
      <c r="R123" s="1932"/>
      <c r="S123" s="1932"/>
      <c r="T123" s="1932"/>
      <c r="U123" s="2002"/>
    </row>
    <row r="124" spans="1:21" ht="18" customHeight="1" thickBot="1" x14ac:dyDescent="0.3">
      <c r="B124" s="93">
        <f>IF(SUM(K125:M125)=0,0,1)</f>
        <v>0</v>
      </c>
      <c r="E124" s="93">
        <f>IF(SUM(R126:U126)=0,0,1)</f>
        <v>0</v>
      </c>
      <c r="I124" s="144"/>
      <c r="J124" s="145" t="s">
        <v>166</v>
      </c>
      <c r="K124" s="137">
        <f>IF(SUM(K122:K123)=0,0,1)</f>
        <v>1</v>
      </c>
      <c r="L124" s="137">
        <f>IF(SUM(L122:L123)=0,0,1)</f>
        <v>1</v>
      </c>
      <c r="M124" s="137">
        <f>IF(SUM(M122:M123)=0,0,1)</f>
        <v>1</v>
      </c>
      <c r="N124" s="1953">
        <f>VA_FEHLERMODUL</f>
        <v>1</v>
      </c>
      <c r="O124" s="1955"/>
      <c r="P124" s="1954"/>
      <c r="Q124" s="450">
        <f>VA_FEHLERMODUL</f>
        <v>1</v>
      </c>
      <c r="R124" s="450">
        <f>VA_FEHLERMODUL</f>
        <v>1</v>
      </c>
      <c r="S124" s="450">
        <f>VA_FEHLERMODUL</f>
        <v>1</v>
      </c>
      <c r="T124" s="450">
        <f>VA_FEHLERMODUL</f>
        <v>1</v>
      </c>
      <c r="U124" s="180">
        <f>VA_FEHLERMODUL</f>
        <v>1</v>
      </c>
    </row>
    <row r="125" spans="1:21" ht="18" customHeight="1" x14ac:dyDescent="0.25">
      <c r="I125" s="144"/>
      <c r="J125" s="145" t="s">
        <v>193</v>
      </c>
      <c r="K125" s="1953">
        <f>IF(OR(AND(K121&gt;0,K122=0),AND(L121&gt;0,L122=0)),1,0)</f>
        <v>0</v>
      </c>
      <c r="L125" s="1954"/>
      <c r="M125" s="137">
        <f>IF(AND(M121&gt;0,M123=0),1,0)</f>
        <v>0</v>
      </c>
      <c r="N125" s="1953">
        <f>VA_FEHLER_AB</f>
        <v>0</v>
      </c>
      <c r="O125" s="1955"/>
      <c r="P125" s="1954"/>
      <c r="Q125" s="450">
        <f>VA_FEHLER_AB</f>
        <v>0</v>
      </c>
      <c r="R125" s="450">
        <f>VA_FEHLER_AB</f>
        <v>0</v>
      </c>
      <c r="S125" s="450">
        <f>VA_FEHLER_AB</f>
        <v>0</v>
      </c>
      <c r="T125" s="450">
        <f>VA_FEHLER_AB</f>
        <v>0</v>
      </c>
      <c r="U125" s="180">
        <f>VA_FEHLER_AB</f>
        <v>0</v>
      </c>
    </row>
    <row r="126" spans="1:21" ht="18" customHeight="1" thickBot="1" x14ac:dyDescent="0.3">
      <c r="B126" s="12" t="s">
        <v>190</v>
      </c>
      <c r="E126" s="12" t="s">
        <v>237</v>
      </c>
      <c r="I126" s="144"/>
      <c r="J126" s="161" t="s">
        <v>430</v>
      </c>
      <c r="K126" s="162"/>
      <c r="L126" s="162"/>
      <c r="M126" s="162"/>
      <c r="N126" s="1953">
        <f>IF(
N124&gt;0,0,IF(
N125&gt;0,0,IF(
OR(N121&gt;0,O121&gt;0,P121&gt;0),1,
0)))</f>
        <v>0</v>
      </c>
      <c r="O126" s="1955"/>
      <c r="P126" s="1954"/>
      <c r="Q126" s="456">
        <f>IF(
Q124&gt;0,0,IF(
Q125&gt;0,0,IF(
OR(N121&gt;0,O121&gt;0,P121&gt;0,Q121&gt;0),1,
0)))</f>
        <v>0</v>
      </c>
      <c r="R126" s="450">
        <f>IF(
AND(R122=1,VA_FEHLER_CD=1),0,IF(
AND(R121=1,R122=2),1,IF(
AND(R122=1,OR(R124=1,R125=1)),0,IF(
AND(R121=1,R122=1),1,0))))</f>
        <v>0</v>
      </c>
      <c r="S126" s="450">
        <f>IF(
AND(S122=1,VA_FEHLER_CD=1),0,IF(
AND(S121=1,S122=2),1,IF(
AND(S122=1,OR(S124=1,S125=1)),0,IF(
AND(S121=1,S122=1),1,0))))</f>
        <v>0</v>
      </c>
      <c r="T126" s="450">
        <f>IF(
AND(T122=1,VA_FEHLER_CD=1),0,IF(
AND(T121=1,T122=2),1,IF(
AND(T122=1,OR(T124=1,T125=1)),0,IF(
AND(T121=1,T122=1),1,0))))</f>
        <v>0</v>
      </c>
      <c r="U126" s="180">
        <f>IF(
AND(U122=1,VA_FEHLER_CD=1),0,IF(
AND(U121=1,U122=2),1,IF(
AND(U122=1,OR(U124=1,U125=1)),0,IF(
AND(U121=1,U122=1),1,0))))</f>
        <v>0</v>
      </c>
    </row>
    <row r="127" spans="1:21" ht="18" customHeight="1" thickBot="1" x14ac:dyDescent="0.3">
      <c r="B127" s="93">
        <f>IF(SUM(N126)=0,0,1)</f>
        <v>0</v>
      </c>
      <c r="E127" s="93">
        <f>IF(SUM(N126:Q126)=0,0,1)</f>
        <v>0</v>
      </c>
      <c r="F127" s="189" t="s">
        <v>236</v>
      </c>
      <c r="I127" s="144"/>
      <c r="J127" s="145" t="s">
        <v>175</v>
      </c>
      <c r="K127" s="1950" t="str">
        <f>IF(K125=1,"   Teil A","")</f>
        <v/>
      </c>
      <c r="L127" s="1951"/>
      <c r="M127" s="140" t="str">
        <f>IF(M125=1,"   Teil B","")</f>
        <v/>
      </c>
      <c r="N127" s="1950" t="str">
        <f>IF(N126=1,"   Teil C","")</f>
        <v/>
      </c>
      <c r="O127" s="1952"/>
      <c r="P127" s="1952"/>
      <c r="Q127" s="1951"/>
      <c r="R127" s="1950" t="str">
        <f>IF(VA_FEHLER_D=1,"   Teil D","")</f>
        <v/>
      </c>
      <c r="S127" s="1952"/>
      <c r="T127" s="1952"/>
      <c r="U127" s="2003"/>
    </row>
    <row r="128" spans="1:21" ht="18" customHeight="1" x14ac:dyDescent="0.25">
      <c r="H128" s="109"/>
      <c r="I128" s="144"/>
      <c r="J128" s="145" t="s">
        <v>176</v>
      </c>
      <c r="K128" s="1932" t="str">
        <f>K127&amp;M127&amp;N127&amp;R127</f>
        <v/>
      </c>
      <c r="L128" s="1933"/>
      <c r="M128" s="1933"/>
      <c r="N128" s="1933"/>
      <c r="O128" s="1933"/>
      <c r="P128" s="1933"/>
      <c r="Q128" s="1933"/>
      <c r="R128" s="1933"/>
      <c r="S128" s="1933"/>
      <c r="T128" s="1933"/>
      <c r="U128" s="1934"/>
    </row>
    <row r="129" spans="1:21" ht="18" customHeight="1" thickBot="1" x14ac:dyDescent="0.3">
      <c r="B129" s="12" t="s">
        <v>162</v>
      </c>
      <c r="I129" s="146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6"/>
    </row>
    <row r="130" spans="1:21" ht="18" customHeight="1" x14ac:dyDescent="0.25">
      <c r="B130" s="94" t="s">
        <v>138</v>
      </c>
      <c r="Q130" s="113"/>
    </row>
    <row r="131" spans="1:21" ht="18" customHeight="1" x14ac:dyDescent="0.25">
      <c r="J131" s="2" t="s">
        <v>286</v>
      </c>
      <c r="S131" s="1993" t="s">
        <v>213</v>
      </c>
      <c r="T131" s="1993"/>
      <c r="U131" s="1993"/>
    </row>
    <row r="132" spans="1:21" ht="18" customHeight="1" x14ac:dyDescent="0.25">
      <c r="B132" s="12" t="s">
        <v>164</v>
      </c>
      <c r="S132" s="1990" t="s">
        <v>214</v>
      </c>
      <c r="T132" s="1991"/>
      <c r="U132" s="1992"/>
    </row>
    <row r="133" spans="1:21" ht="18" customHeight="1" x14ac:dyDescent="0.25">
      <c r="B133" s="94" t="s">
        <v>163</v>
      </c>
    </row>
    <row r="135" spans="1:21" ht="18" customHeight="1" x14ac:dyDescent="0.25">
      <c r="B135" s="12" t="s">
        <v>174</v>
      </c>
      <c r="I135" s="12" t="s">
        <v>443</v>
      </c>
    </row>
    <row r="136" spans="1:21" ht="18" customHeight="1" x14ac:dyDescent="0.25">
      <c r="B136" s="94" t="str">
        <f>IF(OR(VA_FEHLER_AB=1,VA_FEHLER_C=1,VA_FEHLER_D=1),B137,IF(
AND(VA_KOSTENANALYSE=1,VA_FEHLER_CD=1),"Es sind noch nicht alle Stellplätze auf Abstelltypen in Teil C unten verteilt. Kostenanalyse/Kurzbericht nicht möglich.",
""))</f>
        <v/>
      </c>
      <c r="I136" s="94" t="s">
        <v>444</v>
      </c>
    </row>
    <row r="137" spans="1:21" ht="18" customHeight="1" x14ac:dyDescent="0.25">
      <c r="A137" s="159"/>
      <c r="B137" s="2" t="str">
        <f>"Bitte prüfen Sie Ihre Eingaben in    ►"&amp;K128</f>
        <v>Bitte prüfen Sie Ihre Eingaben in    ►</v>
      </c>
    </row>
    <row r="141" spans="1:21" s="7" customFormat="1" ht="18" customHeight="1" x14ac:dyDescent="0.25">
      <c r="A141" s="8"/>
      <c r="B141" s="66" t="s">
        <v>26</v>
      </c>
    </row>
    <row r="143" spans="1:21" ht="18" customHeight="1" x14ac:dyDescent="0.25">
      <c r="A143"/>
      <c r="B143" s="12" t="s">
        <v>25</v>
      </c>
    </row>
    <row r="144" spans="1:21" ht="18" customHeight="1" x14ac:dyDescent="0.25">
      <c r="A144"/>
      <c r="B144" s="9">
        <f>IFERROR(VLOOKUP(VE_BESTANDSEINGABE,B146:H148,7,FALSE),0)</f>
        <v>0</v>
      </c>
    </row>
    <row r="145" spans="1:16" ht="18" customHeight="1" x14ac:dyDescent="0.25">
      <c r="B145" s="12" t="s">
        <v>23</v>
      </c>
    </row>
    <row r="146" spans="1:16" ht="18" customHeight="1" x14ac:dyDescent="0.25">
      <c r="A146"/>
      <c r="B146" s="401" t="s">
        <v>688</v>
      </c>
      <c r="C146" s="396"/>
      <c r="D146" s="396"/>
      <c r="E146" s="396"/>
      <c r="F146" s="396"/>
      <c r="G146" s="396"/>
      <c r="H146" s="397">
        <v>0</v>
      </c>
    </row>
    <row r="147" spans="1:16" ht="18" customHeight="1" x14ac:dyDescent="0.25">
      <c r="A147"/>
      <c r="B147" s="402" t="s">
        <v>692</v>
      </c>
      <c r="H147" s="398">
        <v>1</v>
      </c>
    </row>
    <row r="148" spans="1:16" ht="18" customHeight="1" x14ac:dyDescent="0.25">
      <c r="A148"/>
      <c r="B148" s="403" t="s">
        <v>691</v>
      </c>
      <c r="C148" s="399"/>
      <c r="D148" s="399"/>
      <c r="E148" s="399"/>
      <c r="F148" s="399"/>
      <c r="G148" s="399"/>
      <c r="H148" s="400">
        <v>2</v>
      </c>
    </row>
    <row r="149" spans="1:16" ht="18" customHeight="1" x14ac:dyDescent="0.25">
      <c r="A149"/>
    </row>
    <row r="150" spans="1:16" ht="18" customHeight="1" x14ac:dyDescent="0.25">
      <c r="A150"/>
      <c r="B150" s="12" t="s">
        <v>72</v>
      </c>
    </row>
    <row r="151" spans="1:16" ht="18" customHeight="1" x14ac:dyDescent="0.25">
      <c r="A151"/>
      <c r="B151" s="9">
        <f>IFERROR(VLOOKUP(VE_TFAUSWAHL,B153:H156,7,FALSE),0)</f>
        <v>0</v>
      </c>
    </row>
    <row r="152" spans="1:16" ht="18" customHeight="1" x14ac:dyDescent="0.25">
      <c r="A152"/>
      <c r="B152" s="12" t="s">
        <v>73</v>
      </c>
    </row>
    <row r="153" spans="1:16" ht="18" customHeight="1" x14ac:dyDescent="0.25">
      <c r="A153"/>
      <c r="B153" s="401" t="s">
        <v>24</v>
      </c>
      <c r="C153" s="396"/>
      <c r="D153" s="396"/>
      <c r="E153" s="396"/>
      <c r="F153" s="396"/>
      <c r="G153" s="396"/>
      <c r="H153" s="397">
        <v>0</v>
      </c>
      <c r="J153" s="402" t="s">
        <v>55</v>
      </c>
      <c r="P153" s="398">
        <v>1</v>
      </c>
    </row>
    <row r="154" spans="1:16" ht="18" customHeight="1" x14ac:dyDescent="0.25">
      <c r="A154"/>
      <c r="B154" s="402" t="s">
        <v>812</v>
      </c>
      <c r="H154" s="398">
        <v>2</v>
      </c>
    </row>
    <row r="155" spans="1:16" ht="18" customHeight="1" x14ac:dyDescent="0.25">
      <c r="A155"/>
      <c r="B155" s="402" t="s">
        <v>60</v>
      </c>
      <c r="H155" s="398">
        <v>3</v>
      </c>
    </row>
    <row r="156" spans="1:16" ht="18" customHeight="1" x14ac:dyDescent="0.25">
      <c r="A156"/>
      <c r="B156" s="403" t="s">
        <v>16</v>
      </c>
      <c r="C156" s="399"/>
      <c r="D156" s="399"/>
      <c r="E156" s="399"/>
      <c r="F156" s="399"/>
      <c r="G156" s="399"/>
      <c r="H156" s="400">
        <v>4</v>
      </c>
    </row>
    <row r="157" spans="1:16" ht="18" customHeight="1" x14ac:dyDescent="0.25">
      <c r="A157"/>
    </row>
    <row r="158" spans="1:16" ht="18" customHeight="1" x14ac:dyDescent="0.25">
      <c r="A158"/>
      <c r="B158" s="12" t="s">
        <v>81</v>
      </c>
    </row>
    <row r="159" spans="1:16" ht="18" customHeight="1" x14ac:dyDescent="0.25">
      <c r="A159"/>
      <c r="B159" s="9">
        <f>IF(VA_TFAUSWAHL=3,IFERROR(VLOOKUP(VE_3_UVB,B161:H163,7,FALSE),1),1)</f>
        <v>1</v>
      </c>
    </row>
    <row r="160" spans="1:16" ht="18" customHeight="1" x14ac:dyDescent="0.25">
      <c r="A160"/>
      <c r="B160" s="12" t="s">
        <v>85</v>
      </c>
    </row>
    <row r="161" spans="1:8" ht="18" customHeight="1" x14ac:dyDescent="0.25">
      <c r="A161"/>
      <c r="B161" s="401" t="s">
        <v>82</v>
      </c>
      <c r="C161" s="396"/>
      <c r="D161" s="396"/>
      <c r="E161" s="396"/>
      <c r="F161" s="396"/>
      <c r="G161" s="396"/>
      <c r="H161" s="397">
        <v>1</v>
      </c>
    </row>
    <row r="162" spans="1:8" ht="18" customHeight="1" x14ac:dyDescent="0.25">
      <c r="A162"/>
      <c r="B162" s="402" t="s">
        <v>83</v>
      </c>
      <c r="H162" s="398">
        <v>1.1000000000000001</v>
      </c>
    </row>
    <row r="163" spans="1:8" ht="18" customHeight="1" x14ac:dyDescent="0.25">
      <c r="A163"/>
      <c r="B163" s="403" t="s">
        <v>84</v>
      </c>
      <c r="C163" s="399"/>
      <c r="D163" s="399"/>
      <c r="E163" s="399"/>
      <c r="F163" s="399"/>
      <c r="G163" s="399"/>
      <c r="H163" s="400">
        <v>1.25</v>
      </c>
    </row>
    <row r="164" spans="1:8" ht="18" customHeight="1" x14ac:dyDescent="0.25">
      <c r="A164"/>
    </row>
    <row r="165" spans="1:8" ht="18" customHeight="1" x14ac:dyDescent="0.25">
      <c r="A165"/>
      <c r="B165" s="12" t="s">
        <v>134</v>
      </c>
    </row>
    <row r="166" spans="1:8" ht="18" customHeight="1" x14ac:dyDescent="0.25">
      <c r="A166"/>
      <c r="B166" s="9">
        <f>IF(VA_BESTANDSEINGABE=1,0,IFERROR(VLOOKUP(VE_ZUSAMMEN,B168:H169,7,FALSE),0))</f>
        <v>0</v>
      </c>
    </row>
    <row r="167" spans="1:8" ht="18" customHeight="1" x14ac:dyDescent="0.25">
      <c r="A167"/>
      <c r="B167" s="12" t="s">
        <v>135</v>
      </c>
    </row>
    <row r="168" spans="1:8" ht="18" customHeight="1" x14ac:dyDescent="0.25">
      <c r="A168"/>
      <c r="B168" s="401" t="s">
        <v>109</v>
      </c>
      <c r="C168" s="396"/>
      <c r="D168" s="396"/>
      <c r="E168" s="396"/>
      <c r="F168" s="396"/>
      <c r="G168" s="396"/>
      <c r="H168" s="397">
        <v>0</v>
      </c>
    </row>
    <row r="169" spans="1:8" ht="18" customHeight="1" x14ac:dyDescent="0.25">
      <c r="A169"/>
      <c r="B169" s="403" t="s">
        <v>136</v>
      </c>
      <c r="C169" s="399"/>
      <c r="D169" s="399"/>
      <c r="E169" s="399"/>
      <c r="F169" s="399"/>
      <c r="G169" s="399"/>
      <c r="H169" s="400">
        <v>1</v>
      </c>
    </row>
    <row r="171" spans="1:8" ht="18" customHeight="1" x14ac:dyDescent="0.25">
      <c r="B171" s="12" t="s">
        <v>183</v>
      </c>
    </row>
    <row r="172" spans="1:8" ht="18" customHeight="1" x14ac:dyDescent="0.25">
      <c r="B172" s="155" t="str">
        <f>IF(
VA_FEHLERMODUL&gt;0,B177,IF(
VA_FEHLER_AB&gt;0,B178,
B176))</f>
        <v>es fehlen noch Daten</v>
      </c>
    </row>
    <row r="173" spans="1:8" ht="18" customHeight="1" x14ac:dyDescent="0.25">
      <c r="B173" s="9">
        <f>IF(
VA_BESTANDSEINGABE=1,B174,IF(
VA_ZUSAMMEN=1,B174,IF(
VA_BESTANDSEINGABE=2,B174+B175,
0)))</f>
        <v>0</v>
      </c>
    </row>
    <row r="174" spans="1:8" ht="18" customHeight="1" x14ac:dyDescent="0.25">
      <c r="A174" s="13" t="s">
        <v>184</v>
      </c>
      <c r="B174" s="1">
        <f>VE_BB_1</f>
        <v>0</v>
      </c>
    </row>
    <row r="175" spans="1:8" ht="18" customHeight="1" x14ac:dyDescent="0.25">
      <c r="A175" s="13" t="s">
        <v>185</v>
      </c>
      <c r="B175" s="1">
        <f>VE_BB_2</f>
        <v>0</v>
      </c>
    </row>
    <row r="176" spans="1:8" ht="18" customHeight="1" x14ac:dyDescent="0.25">
      <c r="A176" s="9"/>
      <c r="B176" s="2" t="str">
        <f>TEXT(B173,"#.##0")&amp;IF(B173=1," Stellplatz"," Stellplätze")</f>
        <v>0 Stellplätze</v>
      </c>
    </row>
    <row r="177" spans="1:8" ht="18" customHeight="1" x14ac:dyDescent="0.25">
      <c r="A177" s="9"/>
      <c r="B177" s="2" t="s">
        <v>186</v>
      </c>
    </row>
    <row r="178" spans="1:8" ht="18" customHeight="1" x14ac:dyDescent="0.25">
      <c r="A178" s="9"/>
      <c r="B178" s="2" t="s">
        <v>187</v>
      </c>
    </row>
    <row r="180" spans="1:8" ht="18" customHeight="1" x14ac:dyDescent="0.25">
      <c r="B180" s="12" t="s">
        <v>318</v>
      </c>
    </row>
    <row r="181" spans="1:8" ht="18" customHeight="1" x14ac:dyDescent="0.25">
      <c r="B181" s="9">
        <f>IFERROR(VLOOKUP(VE_KOSTENANALYSE,B183:H185,7,TRUE),0)</f>
        <v>1</v>
      </c>
    </row>
    <row r="182" spans="1:8" ht="18" customHeight="1" x14ac:dyDescent="0.25">
      <c r="B182" s="12" t="s">
        <v>321</v>
      </c>
    </row>
    <row r="183" spans="1:8" ht="18" customHeight="1" x14ac:dyDescent="0.25">
      <c r="B183" s="421" t="s">
        <v>24</v>
      </c>
      <c r="H183" s="478">
        <v>0</v>
      </c>
    </row>
    <row r="184" spans="1:8" ht="18" customHeight="1" x14ac:dyDescent="0.25">
      <c r="B184" s="417" t="s">
        <v>319</v>
      </c>
      <c r="C184" s="418"/>
      <c r="D184" s="418"/>
      <c r="E184" s="418"/>
      <c r="F184" s="418"/>
      <c r="G184" s="418"/>
      <c r="H184" s="419">
        <v>1</v>
      </c>
    </row>
    <row r="185" spans="1:8" ht="18" customHeight="1" x14ac:dyDescent="0.25">
      <c r="B185" s="420" t="s">
        <v>320</v>
      </c>
      <c r="C185" s="421"/>
      <c r="D185" s="421"/>
      <c r="E185" s="421"/>
      <c r="F185" s="421"/>
      <c r="G185" s="421"/>
      <c r="H185" s="422">
        <v>2</v>
      </c>
    </row>
    <row r="189" spans="1:8" s="4" customFormat="1" ht="18" customHeight="1" x14ac:dyDescent="0.25">
      <c r="B189" s="66" t="s">
        <v>14</v>
      </c>
    </row>
    <row r="191" spans="1:8" ht="18" customHeight="1" x14ac:dyDescent="0.25">
      <c r="B191" s="12" t="s">
        <v>30</v>
      </c>
    </row>
    <row r="192" spans="1:8" ht="18" customHeight="1" x14ac:dyDescent="0.25">
      <c r="B192" s="6" t="str">
        <f>IFERROR(VLOOKUP(VA_BESTANDSEINGABE,A193:B195,2,FALSE),"")</f>
        <v/>
      </c>
    </row>
    <row r="193" spans="1:2" ht="18" customHeight="1" x14ac:dyDescent="0.25">
      <c r="A193" s="13">
        <v>0</v>
      </c>
      <c r="B193" s="15" t="s">
        <v>29</v>
      </c>
    </row>
    <row r="194" spans="1:2" ht="18" customHeight="1" x14ac:dyDescent="0.25">
      <c r="A194" s="13">
        <v>1</v>
      </c>
      <c r="B194" s="2" t="s">
        <v>32</v>
      </c>
    </row>
    <row r="195" spans="1:2" ht="18" customHeight="1" x14ac:dyDescent="0.25">
      <c r="A195" s="13">
        <v>2</v>
      </c>
      <c r="B195" s="2" t="s">
        <v>28</v>
      </c>
    </row>
    <row r="197" spans="1:2" ht="18" customHeight="1" x14ac:dyDescent="0.25">
      <c r="B197" s="12" t="s">
        <v>31</v>
      </c>
    </row>
    <row r="198" spans="1:2" ht="18" customHeight="1" x14ac:dyDescent="0.25">
      <c r="B198" s="6" t="str">
        <f>IFERROR(VLOOKUP(VA_BESTANDSEINGABE,A199:B201,2,FALSE),"")</f>
        <v/>
      </c>
    </row>
    <row r="199" spans="1:2" ht="18" customHeight="1" x14ac:dyDescent="0.25">
      <c r="A199" s="13">
        <v>0</v>
      </c>
      <c r="B199" s="15" t="s">
        <v>29</v>
      </c>
    </row>
    <row r="200" spans="1:2" ht="18" customHeight="1" x14ac:dyDescent="0.25">
      <c r="A200" s="13">
        <v>1</v>
      </c>
      <c r="B200" s="15" t="s">
        <v>29</v>
      </c>
    </row>
    <row r="201" spans="1:2" ht="18" customHeight="1" x14ac:dyDescent="0.25">
      <c r="A201" s="13">
        <v>2</v>
      </c>
      <c r="B201" s="2" t="s">
        <v>28</v>
      </c>
    </row>
    <row r="203" spans="1:2" ht="18" customHeight="1" x14ac:dyDescent="0.25">
      <c r="B203" s="160" t="s">
        <v>101</v>
      </c>
    </row>
    <row r="204" spans="1:2" ht="18" customHeight="1" x14ac:dyDescent="0.25">
      <c r="B204" s="6" t="str">
        <f>IF(OR(VA_FEHLER_AB&gt;0,VA_FEHLERMODUL&gt;0),B206,B205)</f>
        <v>Zusammenfassung und Berechnung können nicht angezeigt werden. Bitte prüfen Sie Ihre Eingaben.</v>
      </c>
    </row>
    <row r="205" spans="1:2" ht="18" customHeight="1" x14ac:dyDescent="0.25">
      <c r="A205" s="13"/>
      <c r="B205" s="2" t="str">
        <f>IF(VA_VERKEHRSSTATION="","Zusammenfassung Ihrer Eingaben","Zusammenfassung Ihrer Eingaben für "&amp;VA_VERKEHRSSTATION)</f>
        <v>Zusammenfassung Ihrer Eingaben</v>
      </c>
    </row>
    <row r="206" spans="1:2" ht="18" customHeight="1" x14ac:dyDescent="0.25">
      <c r="A206" s="13"/>
      <c r="B206" s="2" t="s">
        <v>188</v>
      </c>
    </row>
    <row r="208" spans="1:2" ht="18" customHeight="1" x14ac:dyDescent="0.25">
      <c r="B208" s="12" t="s">
        <v>124</v>
      </c>
    </row>
    <row r="209" spans="1:17" ht="18" customHeight="1" x14ac:dyDescent="0.25">
      <c r="B209" s="6" t="str">
        <f>IFERROR(VLOOKUP(VA_TFAUSWAHL,A210:B214,2,FALSE),"interner Fehler")</f>
        <v>Trendfaktor ermittelt durch: keine Auswahl</v>
      </c>
    </row>
    <row r="210" spans="1:17" ht="18" customHeight="1" x14ac:dyDescent="0.25">
      <c r="A210" s="13">
        <v>0</v>
      </c>
      <c r="B210" s="2" t="s">
        <v>128</v>
      </c>
    </row>
    <row r="211" spans="1:17" ht="18" customHeight="1" x14ac:dyDescent="0.25">
      <c r="A211" s="13">
        <v>1</v>
      </c>
      <c r="B211" s="2" t="str">
        <f>"Trendfaktor ermittelt durch: "&amp;VE_TFAUSWAHL</f>
        <v>Trendfaktor ermittelt durch: Bitte klicken und auswählen…</v>
      </c>
      <c r="O211"/>
      <c r="P211"/>
      <c r="Q211"/>
    </row>
    <row r="212" spans="1:17" ht="18" customHeight="1" x14ac:dyDescent="0.25">
      <c r="A212" s="13">
        <v>2</v>
      </c>
      <c r="B212" s="2" t="str">
        <f>"Trendfaktor ermittelt durch: "&amp;LEFT(VE_TFAUSWAHL,34)&amp;IF(VP_2_RVJAHR="",""," ("&amp;VP_2_RVJAHR&amp;")")</f>
        <v>Trendfaktor ermittelt durch: Bitte klicken und auswählen…</v>
      </c>
      <c r="O212"/>
      <c r="P212"/>
      <c r="Q212"/>
    </row>
    <row r="213" spans="1:17" ht="18" customHeight="1" x14ac:dyDescent="0.25">
      <c r="A213" s="13">
        <v>3</v>
      </c>
      <c r="B213" s="2" t="str">
        <f>"Trendfaktor ermittelt durch: "&amp;VE_TFAUSWAHL&amp;IF(VP_3_BVJAHR="",""," ("&amp;VP_3_BVJAHR&amp;")")</f>
        <v>Trendfaktor ermittelt durch: Bitte klicken und auswählen…</v>
      </c>
      <c r="O213"/>
      <c r="P213"/>
      <c r="Q213"/>
    </row>
    <row r="214" spans="1:17" ht="18" customHeight="1" x14ac:dyDescent="0.25">
      <c r="A214" s="13">
        <v>4</v>
      </c>
      <c r="B214" s="2" t="str">
        <f>"Trendfaktor ermittelt durch: "&amp;VE_TFAUSWAHL</f>
        <v>Trendfaktor ermittelt durch: Bitte klicken und auswählen…</v>
      </c>
      <c r="O214"/>
      <c r="P214"/>
      <c r="Q214"/>
    </row>
    <row r="215" spans="1:17" ht="18" customHeight="1" x14ac:dyDescent="0.25">
      <c r="O215"/>
      <c r="P215"/>
      <c r="Q215"/>
    </row>
    <row r="216" spans="1:17" ht="18" customHeight="1" x14ac:dyDescent="0.25">
      <c r="B216" s="12" t="s">
        <v>125</v>
      </c>
    </row>
    <row r="217" spans="1:17" ht="18" customHeight="1" x14ac:dyDescent="0.25">
      <c r="B217" s="6" t="str">
        <f>IFERROR(VLOOKUP(VA_TFAUSWAHL,A218:B222,2,FALSE),"interner Fehler")</f>
        <v>Anteil Umweltverbund (nur bei Bevölkerungsprognose relevant)</v>
      </c>
    </row>
    <row r="218" spans="1:17" ht="18" customHeight="1" x14ac:dyDescent="0.25">
      <c r="A218" s="13">
        <v>0</v>
      </c>
      <c r="B218" s="2" t="s">
        <v>156</v>
      </c>
    </row>
    <row r="219" spans="1:17" ht="18" customHeight="1" x14ac:dyDescent="0.25">
      <c r="A219" s="13">
        <v>1</v>
      </c>
      <c r="B219" s="2" t="s">
        <v>156</v>
      </c>
    </row>
    <row r="220" spans="1:17" ht="18" customHeight="1" x14ac:dyDescent="0.25">
      <c r="A220" s="13">
        <v>2</v>
      </c>
      <c r="B220" s="2" t="s">
        <v>156</v>
      </c>
    </row>
    <row r="221" spans="1:17" ht="18" customHeight="1" x14ac:dyDescent="0.25">
      <c r="A221" s="13">
        <v>3</v>
      </c>
      <c r="B221" s="2" t="str">
        <f>"Anteil Umweltverbund"&amp;IF(VP_3_BVJAHR="",""," (bezogen auf "&amp;VP_3_BVJAHR&amp;")")&amp;": "&amp;VE_3_UVB</f>
        <v>Anteil Umweltverbund: gleichbleibend</v>
      </c>
    </row>
    <row r="222" spans="1:17" ht="18" customHeight="1" x14ac:dyDescent="0.25">
      <c r="A222" s="13">
        <v>4</v>
      </c>
      <c r="B222" s="2" t="s">
        <v>156</v>
      </c>
    </row>
    <row r="224" spans="1:17" ht="18" customHeight="1" x14ac:dyDescent="0.25">
      <c r="B224" s="12" t="s">
        <v>126</v>
      </c>
      <c r="C224" s="9" t="str">
        <f>IF(
IFERROR(ROUND((VA_TF-1)*100,1),0)=0," (± "&amp;IFERROR(ROUND((VA_TF-1)*100,1),0)&amp;" %)",IF(
IFERROR(ROUND((VA_TF-1)*100,1),0)&gt;0," (+ "&amp;IFERROR(ROUND((VA_TF-1)*100,1),0)&amp;" %)",
" ("&amp;IFERROR(ROUND((VA_TF-1)*100,1),0)&amp;" %)"))</f>
        <v xml:space="preserve"> (± 0 %)</v>
      </c>
      <c r="D224" s="1"/>
    </row>
    <row r="225" spans="1:12" ht="18" customHeight="1" x14ac:dyDescent="0.25">
      <c r="B225" s="6" t="str">
        <f>IFERROR(VLOOKUP(VA_TFAUSWAHL,A226:B230,2,FALSE),"interner Fehler")</f>
        <v>Benötigte zusätzliche Stellplätze aufgrund Trendfaktor</v>
      </c>
    </row>
    <row r="226" spans="1:12" ht="18" customHeight="1" x14ac:dyDescent="0.25">
      <c r="A226" s="13">
        <v>0</v>
      </c>
      <c r="B226" s="2" t="s">
        <v>157</v>
      </c>
    </row>
    <row r="227" spans="1:12" ht="18" customHeight="1" x14ac:dyDescent="0.25">
      <c r="A227" s="13">
        <v>1</v>
      </c>
      <c r="B227" s="2" t="str">
        <f>"Benötigte zusätzliche Stellplätze aufgrund Trendfaktor"&amp;C224</f>
        <v>Benötigte zusätzliche Stellplätze aufgrund Trendfaktor (± 0 %)</v>
      </c>
    </row>
    <row r="228" spans="1:12" ht="18" customHeight="1" x14ac:dyDescent="0.25">
      <c r="A228" s="13">
        <v>2</v>
      </c>
      <c r="B228" s="2" t="str">
        <f>"Benötigte zusätzliche Stellplätze aufgrund Trendfaktor"&amp;C224</f>
        <v>Benötigte zusätzliche Stellplätze aufgrund Trendfaktor (± 0 %)</v>
      </c>
    </row>
    <row r="229" spans="1:12" ht="18" customHeight="1" x14ac:dyDescent="0.25">
      <c r="A229" s="13">
        <v>3</v>
      </c>
      <c r="B229" s="2" t="str">
        <f>"Benötigte zusätzliche Stellplätze aufgrund Trendfaktor"&amp;C224&amp;" und Umweltverbund ("&amp;IF(VP_3_UVB-1=0,"± ","+ ")&amp;(VP_3_UVB-1)*100&amp;" %)"</f>
        <v>Benötigte zusätzliche Stellplätze aufgrund Trendfaktor (± 0 %) und Umweltverbund (± 0 %)</v>
      </c>
    </row>
    <row r="230" spans="1:12" ht="18" customHeight="1" x14ac:dyDescent="0.25">
      <c r="A230" s="13">
        <v>4</v>
      </c>
      <c r="B230" s="2" t="str">
        <f>"Benötigte zusätzliche Stellplätze aufgrund Trendfaktor"&amp;C224</f>
        <v>Benötigte zusätzliche Stellplätze aufgrund Trendfaktor (± 0 %)</v>
      </c>
    </row>
    <row r="232" spans="1:12" ht="18" customHeight="1" x14ac:dyDescent="0.25">
      <c r="B232" s="12" t="s">
        <v>127</v>
      </c>
    </row>
    <row r="233" spans="1:12" ht="18" customHeight="1" x14ac:dyDescent="0.25">
      <c r="B233" s="6" t="str">
        <f>IFERROR(VLOOKUP(VA_TFAUSWAHL,A234:B238,2,FALSE),"interner Fehler")</f>
        <v>Gesamtbedarf optimaler Stellplätze</v>
      </c>
    </row>
    <row r="234" spans="1:12" ht="18" customHeight="1" x14ac:dyDescent="0.25">
      <c r="A234" s="13">
        <v>0</v>
      </c>
      <c r="B234" s="2" t="s">
        <v>195</v>
      </c>
    </row>
    <row r="235" spans="1:12" ht="18" customHeight="1" x14ac:dyDescent="0.25">
      <c r="A235" s="13">
        <v>1</v>
      </c>
      <c r="B235" s="2" t="s">
        <v>196</v>
      </c>
    </row>
    <row r="236" spans="1:12" ht="18" customHeight="1" x14ac:dyDescent="0.25">
      <c r="A236" s="13">
        <v>2</v>
      </c>
      <c r="B236" s="2" t="str">
        <f>"Gesamtbedarf optimaler Stellplätze"&amp;IF(F106="",""," bis "&amp;F106)</f>
        <v>Gesamtbedarf optimaler Stellplätze</v>
      </c>
    </row>
    <row r="237" spans="1:12" ht="18" customHeight="1" x14ac:dyDescent="0.25">
      <c r="A237" s="13">
        <v>3</v>
      </c>
      <c r="B237" s="2" t="str">
        <f>"Gesamtbedarf optimaler Stellplätze"&amp;IF(N106="",""," bis "&amp;N106)</f>
        <v>Gesamtbedarf optimaler Stellplätze</v>
      </c>
    </row>
    <row r="238" spans="1:12" ht="18" customHeight="1" x14ac:dyDescent="0.25">
      <c r="A238" s="13">
        <v>4</v>
      </c>
      <c r="B238" s="2" t="s">
        <v>195</v>
      </c>
    </row>
    <row r="240" spans="1:12" ht="18" customHeight="1" x14ac:dyDescent="0.25">
      <c r="B240" s="12" t="s">
        <v>843</v>
      </c>
      <c r="L240" s="936"/>
    </row>
    <row r="241" spans="2:17" ht="18" customHeight="1" x14ac:dyDescent="0.25">
      <c r="B241" s="937"/>
      <c r="C241" s="2018" t="str">
        <f>IF('A ▪ Bestandseingabe'!F29="","---",'A ▪ Bestandseingabe'!F29)</f>
        <v>---</v>
      </c>
      <c r="D241" s="2018"/>
      <c r="E241" s="2018"/>
      <c r="F241" s="2018" t="str">
        <f>IF('A ▪ Bestandseingabe'!I29="","---",'A ▪ Bestandseingabe'!I29)</f>
        <v>---</v>
      </c>
      <c r="G241" s="2018"/>
      <c r="H241" s="2018"/>
      <c r="I241" s="2018" t="str">
        <f>IF('A ▪ Bestandseingabe'!L29="","---",'A ▪ Bestandseingabe'!L29)</f>
        <v>---</v>
      </c>
      <c r="J241" s="2018"/>
      <c r="K241" s="2018"/>
      <c r="L241" s="2018" t="str">
        <f>IF('A ▪ Bestandseingabe'!O29="","---",'A ▪ Bestandseingabe'!O29)</f>
        <v>---</v>
      </c>
      <c r="M241" s="2018"/>
      <c r="N241" s="2018"/>
      <c r="O241" s="2018" t="str">
        <f>IF('A ▪ Bestandseingabe'!R29="","---",'A ▪ Bestandseingabe'!R29)</f>
        <v>---</v>
      </c>
      <c r="P241" s="2018"/>
      <c r="Q241" s="2018"/>
    </row>
    <row r="242" spans="2:17" ht="18" customHeight="1" x14ac:dyDescent="0.25">
      <c r="B242" s="81" t="s">
        <v>844</v>
      </c>
      <c r="C242" s="2019" t="str">
        <f>"(1.) " &amp; C241 &amp; "          (2.) " &amp; F241 &amp; "          (3.) " &amp; I241 &amp; "          (4.) " &amp; L241 &amp; "          (5.) " &amp; O241</f>
        <v>(1.) ---          (2.) ---          (3.) ---          (4.) ---          (5.) ---</v>
      </c>
      <c r="D242" s="2019"/>
      <c r="E242" s="2019"/>
      <c r="F242" s="2019"/>
      <c r="G242" s="2019"/>
      <c r="H242" s="2019"/>
      <c r="I242" s="2019"/>
      <c r="J242" s="2019"/>
      <c r="K242" s="2019"/>
      <c r="L242" s="2019"/>
      <c r="M242" s="2019"/>
      <c r="N242" s="2019"/>
      <c r="O242" s="2019"/>
      <c r="P242" s="2019"/>
      <c r="Q242" s="2019"/>
    </row>
    <row r="246" spans="2:17" s="4" customFormat="1" ht="18" customHeight="1" x14ac:dyDescent="0.25">
      <c r="B246" s="66" t="s">
        <v>614</v>
      </c>
    </row>
    <row r="248" spans="2:17" ht="18" customHeight="1" x14ac:dyDescent="0.25">
      <c r="B248" s="541" t="s">
        <v>323</v>
      </c>
      <c r="C248" s="428" t="s">
        <v>510</v>
      </c>
      <c r="D248" s="529"/>
      <c r="E248" s="529"/>
      <c r="F248" s="529"/>
      <c r="G248" s="538"/>
      <c r="H248" s="538"/>
      <c r="I248" s="538" cm="1">
        <f t="array" ref="I248">SUM(--(I250:I256))</f>
        <v>0</v>
      </c>
    </row>
    <row r="249" spans="2:17" ht="18" customHeight="1" x14ac:dyDescent="0.25">
      <c r="B249" s="527"/>
      <c r="C249" s="527"/>
      <c r="D249" s="532"/>
      <c r="E249" s="532"/>
      <c r="F249" s="532"/>
      <c r="G249" s="532"/>
      <c r="H249" s="532"/>
      <c r="I249" s="532"/>
    </row>
    <row r="250" spans="2:17" ht="18" customHeight="1" x14ac:dyDescent="0.25">
      <c r="B250" s="551">
        <v>1</v>
      </c>
      <c r="C250" s="1653" t="s">
        <v>601</v>
      </c>
      <c r="D250" s="1653"/>
      <c r="E250" s="1653"/>
      <c r="F250" s="1653"/>
      <c r="G250" s="1653"/>
      <c r="H250" s="1654"/>
      <c r="I250" s="610" t="b">
        <v>0</v>
      </c>
    </row>
    <row r="251" spans="2:17" ht="18" customHeight="1" x14ac:dyDescent="0.25">
      <c r="B251" s="555">
        <v>2</v>
      </c>
      <c r="C251" s="1615" t="s">
        <v>602</v>
      </c>
      <c r="D251" s="1615"/>
      <c r="E251" s="1615"/>
      <c r="F251" s="1615"/>
      <c r="G251" s="1615"/>
      <c r="H251" s="1616"/>
      <c r="I251" s="610" t="b">
        <v>0</v>
      </c>
    </row>
    <row r="252" spans="2:17" ht="18" customHeight="1" x14ac:dyDescent="0.25">
      <c r="B252" s="555">
        <v>3</v>
      </c>
      <c r="C252" s="1615" t="s">
        <v>520</v>
      </c>
      <c r="D252" s="1615"/>
      <c r="E252" s="1615"/>
      <c r="F252" s="1615"/>
      <c r="G252" s="1615"/>
      <c r="H252" s="1616"/>
      <c r="I252" s="610" t="b">
        <v>0</v>
      </c>
    </row>
    <row r="253" spans="2:17" ht="18" customHeight="1" x14ac:dyDescent="0.25">
      <c r="B253" s="1594">
        <v>4</v>
      </c>
      <c r="C253" s="1645" t="s">
        <v>521</v>
      </c>
      <c r="D253" s="1646"/>
      <c r="E253" s="1646"/>
      <c r="F253" s="1646"/>
      <c r="G253" s="1646"/>
      <c r="H253" s="1646"/>
      <c r="I253" s="610" t="b">
        <v>0</v>
      </c>
    </row>
    <row r="254" spans="2:17" ht="18" customHeight="1" x14ac:dyDescent="0.25">
      <c r="B254" s="1651"/>
      <c r="C254" s="1648"/>
      <c r="D254" s="1649"/>
      <c r="E254" s="1649"/>
      <c r="F254" s="1649"/>
      <c r="G254" s="1649"/>
      <c r="H254" s="1649"/>
      <c r="I254" s="610" t="b">
        <v>0</v>
      </c>
    </row>
    <row r="255" spans="2:17" ht="18" customHeight="1" x14ac:dyDescent="0.25">
      <c r="B255" s="555">
        <v>5</v>
      </c>
      <c r="C255" s="1615" t="s">
        <v>522</v>
      </c>
      <c r="D255" s="1615"/>
      <c r="E255" s="1615"/>
      <c r="F255" s="1615"/>
      <c r="G255" s="1615"/>
      <c r="H255" s="1616"/>
      <c r="I255" s="610" t="b">
        <v>0</v>
      </c>
    </row>
    <row r="256" spans="2:17" ht="18" customHeight="1" x14ac:dyDescent="0.25">
      <c r="B256" s="556">
        <v>6</v>
      </c>
      <c r="C256" s="1617" t="s">
        <v>523</v>
      </c>
      <c r="D256" s="1617"/>
      <c r="E256" s="1617"/>
      <c r="F256" s="1617"/>
      <c r="G256" s="1617"/>
      <c r="H256" s="1638"/>
      <c r="I256" s="610" t="b">
        <v>0</v>
      </c>
    </row>
    <row r="257" spans="2:9" ht="18" customHeight="1" x14ac:dyDescent="0.25">
      <c r="B257" s="536"/>
      <c r="C257" s="547"/>
      <c r="D257" s="547"/>
      <c r="E257" s="547"/>
      <c r="F257" s="547"/>
      <c r="G257" s="547"/>
      <c r="H257" s="547"/>
      <c r="I257" s="547"/>
    </row>
    <row r="258" spans="2:9" ht="18" customHeight="1" x14ac:dyDescent="0.25">
      <c r="B258" s="541" t="s">
        <v>333</v>
      </c>
      <c r="C258" s="428" t="s">
        <v>514</v>
      </c>
      <c r="D258" s="548"/>
      <c r="E258" s="548"/>
      <c r="F258" s="548"/>
      <c r="G258" s="549"/>
      <c r="H258" s="549"/>
      <c r="I258" s="538" cm="1">
        <f t="array" ref="I258">SUM(--(I260:I261))</f>
        <v>0</v>
      </c>
    </row>
    <row r="259" spans="2:9" ht="18" customHeight="1" x14ac:dyDescent="0.25">
      <c r="B259" s="532"/>
      <c r="C259" s="540"/>
      <c r="D259" s="540"/>
      <c r="E259" s="540"/>
      <c r="F259" s="540"/>
      <c r="G259" s="540"/>
      <c r="H259" s="540"/>
      <c r="I259" s="540"/>
    </row>
    <row r="260" spans="2:9" ht="18" customHeight="1" x14ac:dyDescent="0.25">
      <c r="B260" s="551">
        <v>1</v>
      </c>
      <c r="C260" s="1653" t="s">
        <v>524</v>
      </c>
      <c r="D260" s="1653"/>
      <c r="E260" s="1653"/>
      <c r="F260" s="1653"/>
      <c r="G260" s="1653"/>
      <c r="H260" s="1654"/>
      <c r="I260" s="610" t="b">
        <v>0</v>
      </c>
    </row>
    <row r="261" spans="2:9" ht="18" customHeight="1" x14ac:dyDescent="0.25">
      <c r="B261" s="556">
        <v>2</v>
      </c>
      <c r="C261" s="1617" t="s">
        <v>525</v>
      </c>
      <c r="D261" s="1617"/>
      <c r="E261" s="1617"/>
      <c r="F261" s="1617"/>
      <c r="G261" s="1617"/>
      <c r="H261" s="1638"/>
      <c r="I261" s="610" t="b">
        <v>0</v>
      </c>
    </row>
    <row r="262" spans="2:9" ht="18" customHeight="1" x14ac:dyDescent="0.25">
      <c r="B262" s="375"/>
      <c r="C262" s="547"/>
      <c r="D262" s="547"/>
      <c r="E262" s="547"/>
      <c r="F262" s="547"/>
      <c r="G262" s="547"/>
      <c r="H262" s="547"/>
      <c r="I262" s="547"/>
    </row>
    <row r="263" spans="2:9" ht="18" customHeight="1" x14ac:dyDescent="0.25">
      <c r="B263" s="541" t="s">
        <v>338</v>
      </c>
      <c r="C263" s="428" t="s">
        <v>358</v>
      </c>
      <c r="D263" s="548"/>
      <c r="E263" s="548"/>
      <c r="F263" s="548"/>
      <c r="G263" s="549"/>
      <c r="H263" s="549"/>
      <c r="I263" s="538" cm="1">
        <f t="array" ref="I263">SUM(--(I265:I268))</f>
        <v>0</v>
      </c>
    </row>
    <row r="264" spans="2:9" ht="18" customHeight="1" x14ac:dyDescent="0.25">
      <c r="B264" s="532"/>
      <c r="C264" s="540"/>
      <c r="D264" s="540"/>
      <c r="E264" s="540"/>
      <c r="F264" s="540"/>
      <c r="G264" s="540"/>
      <c r="H264" s="540"/>
      <c r="I264" s="540"/>
    </row>
    <row r="265" spans="2:9" ht="18" customHeight="1" x14ac:dyDescent="0.25">
      <c r="B265" s="551">
        <v>1</v>
      </c>
      <c r="C265" s="1653" t="s">
        <v>526</v>
      </c>
      <c r="D265" s="1653"/>
      <c r="E265" s="1653"/>
      <c r="F265" s="1653"/>
      <c r="G265" s="1653"/>
      <c r="H265" s="1654"/>
      <c r="I265" s="610" t="b">
        <v>0</v>
      </c>
    </row>
    <row r="266" spans="2:9" ht="18" customHeight="1" x14ac:dyDescent="0.25">
      <c r="B266" s="558" t="s">
        <v>363</v>
      </c>
      <c r="C266" s="1615" t="s">
        <v>527</v>
      </c>
      <c r="D266" s="1615"/>
      <c r="E266" s="1615"/>
      <c r="F266" s="1615"/>
      <c r="G266" s="1615"/>
      <c r="H266" s="1616"/>
      <c r="I266" s="610" t="b">
        <v>0</v>
      </c>
    </row>
    <row r="267" spans="2:9" ht="18" customHeight="1" x14ac:dyDescent="0.25">
      <c r="B267" s="555" t="s">
        <v>364</v>
      </c>
      <c r="C267" s="1615" t="s">
        <v>528</v>
      </c>
      <c r="D267" s="1615"/>
      <c r="E267" s="1615"/>
      <c r="F267" s="1615"/>
      <c r="G267" s="1615"/>
      <c r="H267" s="1616"/>
      <c r="I267" s="610" t="b">
        <v>0</v>
      </c>
    </row>
    <row r="268" spans="2:9" ht="18" customHeight="1" x14ac:dyDescent="0.25">
      <c r="B268" s="556">
        <v>3</v>
      </c>
      <c r="C268" s="1617" t="s">
        <v>529</v>
      </c>
      <c r="D268" s="1617"/>
      <c r="E268" s="1617"/>
      <c r="F268" s="1617"/>
      <c r="G268" s="1617"/>
      <c r="H268" s="1638"/>
      <c r="I268" s="610" t="b">
        <v>0</v>
      </c>
    </row>
    <row r="269" spans="2:9" ht="18" customHeight="1" x14ac:dyDescent="0.25">
      <c r="B269" s="536"/>
      <c r="C269" s="547"/>
      <c r="D269" s="547"/>
      <c r="E269" s="547"/>
      <c r="F269" s="547"/>
      <c r="G269" s="547"/>
      <c r="H269" s="547"/>
      <c r="I269" s="547"/>
    </row>
    <row r="270" spans="2:9" ht="18" customHeight="1" x14ac:dyDescent="0.25">
      <c r="B270" s="541" t="s">
        <v>341</v>
      </c>
      <c r="C270" s="428" t="s">
        <v>515</v>
      </c>
      <c r="D270" s="548"/>
      <c r="E270" s="548"/>
      <c r="F270" s="548"/>
      <c r="G270" s="549"/>
      <c r="H270" s="549"/>
      <c r="I270" s="538" cm="1">
        <f t="array" ref="I270">SUM(--(I272:I275))</f>
        <v>0</v>
      </c>
    </row>
    <row r="271" spans="2:9" ht="18" customHeight="1" x14ac:dyDescent="0.25">
      <c r="B271" s="532"/>
      <c r="C271" s="540"/>
      <c r="D271" s="540"/>
      <c r="E271" s="540"/>
      <c r="F271" s="540"/>
      <c r="G271" s="540"/>
      <c r="H271" s="540"/>
      <c r="I271" s="540"/>
    </row>
    <row r="272" spans="2:9" ht="18" customHeight="1" x14ac:dyDescent="0.25">
      <c r="B272" s="551">
        <v>1</v>
      </c>
      <c r="C272" s="1653" t="s">
        <v>530</v>
      </c>
      <c r="D272" s="1653"/>
      <c r="E272" s="1653"/>
      <c r="F272" s="1653"/>
      <c r="G272" s="1653"/>
      <c r="H272" s="1654"/>
      <c r="I272" s="610" t="b">
        <v>0</v>
      </c>
    </row>
    <row r="273" spans="2:9" ht="18" customHeight="1" x14ac:dyDescent="0.25">
      <c r="B273" s="555">
        <v>2</v>
      </c>
      <c r="C273" s="1615" t="s">
        <v>531</v>
      </c>
      <c r="D273" s="1615"/>
      <c r="E273" s="1615"/>
      <c r="F273" s="1615"/>
      <c r="G273" s="1615"/>
      <c r="H273" s="1616"/>
      <c r="I273" s="610" t="b">
        <v>0</v>
      </c>
    </row>
    <row r="274" spans="2:9" ht="18" customHeight="1" x14ac:dyDescent="0.25">
      <c r="B274" s="555">
        <v>3</v>
      </c>
      <c r="C274" s="1615" t="s">
        <v>532</v>
      </c>
      <c r="D274" s="1615"/>
      <c r="E274" s="1615"/>
      <c r="F274" s="1615"/>
      <c r="G274" s="1615"/>
      <c r="H274" s="1616"/>
      <c r="I274" s="610" t="b">
        <v>0</v>
      </c>
    </row>
    <row r="275" spans="2:9" ht="18" customHeight="1" x14ac:dyDescent="0.25">
      <c r="B275" s="556">
        <v>4</v>
      </c>
      <c r="C275" s="1617" t="s">
        <v>533</v>
      </c>
      <c r="D275" s="1617"/>
      <c r="E275" s="1617"/>
      <c r="F275" s="1617"/>
      <c r="G275" s="1617"/>
      <c r="H275" s="1638"/>
      <c r="I275" s="610" t="b">
        <v>0</v>
      </c>
    </row>
    <row r="276" spans="2:9" ht="18" customHeight="1" x14ac:dyDescent="0.25">
      <c r="B276" s="536"/>
      <c r="C276" s="547"/>
      <c r="D276" s="547"/>
      <c r="E276" s="547"/>
      <c r="F276" s="547"/>
      <c r="G276" s="547"/>
      <c r="H276" s="547"/>
      <c r="I276" s="547"/>
    </row>
    <row r="277" spans="2:9" ht="18" customHeight="1" x14ac:dyDescent="0.25">
      <c r="B277" s="541" t="s">
        <v>348</v>
      </c>
      <c r="C277" s="428" t="s">
        <v>516</v>
      </c>
      <c r="D277" s="548"/>
      <c r="E277" s="548"/>
      <c r="F277" s="548"/>
      <c r="G277" s="549"/>
      <c r="H277" s="549"/>
      <c r="I277" s="538" cm="1">
        <f t="array" ref="I277">SUM(--(I279:I280))</f>
        <v>0</v>
      </c>
    </row>
    <row r="278" spans="2:9" ht="18" customHeight="1" x14ac:dyDescent="0.25">
      <c r="B278" s="391"/>
      <c r="C278" s="540"/>
      <c r="D278" s="540"/>
      <c r="E278" s="540"/>
      <c r="F278" s="540"/>
      <c r="G278" s="540"/>
      <c r="H278" s="540"/>
      <c r="I278" s="540"/>
    </row>
    <row r="279" spans="2:9" ht="18" customHeight="1" x14ac:dyDescent="0.25">
      <c r="B279" s="551">
        <v>1</v>
      </c>
      <c r="C279" s="1653" t="s">
        <v>534</v>
      </c>
      <c r="D279" s="1653"/>
      <c r="E279" s="1653"/>
      <c r="F279" s="1653"/>
      <c r="G279" s="1653"/>
      <c r="H279" s="1654"/>
      <c r="I279" s="610" t="b">
        <v>0</v>
      </c>
    </row>
    <row r="280" spans="2:9" ht="18" customHeight="1" x14ac:dyDescent="0.25">
      <c r="B280" s="556">
        <v>2</v>
      </c>
      <c r="C280" s="1617" t="s">
        <v>603</v>
      </c>
      <c r="D280" s="1617"/>
      <c r="E280" s="1617"/>
      <c r="F280" s="1617"/>
      <c r="G280" s="1617"/>
      <c r="H280" s="1638"/>
      <c r="I280" s="610" t="b">
        <v>0</v>
      </c>
    </row>
    <row r="281" spans="2:9" ht="18" customHeight="1" x14ac:dyDescent="0.25">
      <c r="B281" s="536"/>
      <c r="C281" s="547"/>
      <c r="D281" s="547"/>
      <c r="E281" s="547"/>
      <c r="F281" s="547"/>
      <c r="G281" s="547"/>
      <c r="H281" s="547"/>
      <c r="I281" s="547"/>
    </row>
    <row r="282" spans="2:9" ht="18" customHeight="1" x14ac:dyDescent="0.25">
      <c r="B282" s="541" t="s">
        <v>352</v>
      </c>
      <c r="C282" s="428" t="s">
        <v>517</v>
      </c>
      <c r="D282" s="548"/>
      <c r="E282" s="548"/>
      <c r="F282" s="548"/>
      <c r="G282" s="549"/>
      <c r="H282" s="549"/>
      <c r="I282" s="538" cm="1">
        <f t="array" ref="I282">SUM(--(I284:I291))</f>
        <v>0</v>
      </c>
    </row>
    <row r="283" spans="2:9" ht="18" customHeight="1" x14ac:dyDescent="0.25">
      <c r="B283" s="391"/>
      <c r="C283" s="540"/>
      <c r="D283" s="540"/>
      <c r="E283" s="540"/>
      <c r="F283" s="540"/>
      <c r="G283" s="540"/>
      <c r="H283" s="540"/>
      <c r="I283" s="540"/>
    </row>
    <row r="284" spans="2:9" ht="18" customHeight="1" x14ac:dyDescent="0.25">
      <c r="B284" s="551">
        <v>1</v>
      </c>
      <c r="C284" s="1653" t="s">
        <v>535</v>
      </c>
      <c r="D284" s="1653"/>
      <c r="E284" s="1653"/>
      <c r="F284" s="1653"/>
      <c r="G284" s="1653"/>
      <c r="H284" s="1654"/>
      <c r="I284" s="610" t="b">
        <v>0</v>
      </c>
    </row>
    <row r="285" spans="2:9" ht="18" customHeight="1" x14ac:dyDescent="0.25">
      <c r="B285" s="1594">
        <v>2</v>
      </c>
      <c r="C285" s="1705" t="s">
        <v>536</v>
      </c>
      <c r="D285" s="1705"/>
      <c r="E285" s="1705"/>
      <c r="F285" s="1705"/>
      <c r="G285" s="1705"/>
      <c r="H285" s="1645"/>
      <c r="I285" s="610" t="b">
        <v>0</v>
      </c>
    </row>
    <row r="286" spans="2:9" ht="18" customHeight="1" x14ac:dyDescent="0.25">
      <c r="B286" s="1651"/>
      <c r="C286" s="1728" t="s">
        <v>537</v>
      </c>
      <c r="D286" s="1728"/>
      <c r="E286" s="1728"/>
      <c r="F286" s="1728"/>
      <c r="G286" s="1728"/>
      <c r="H286" s="1648"/>
      <c r="I286" s="610" t="b">
        <v>0</v>
      </c>
    </row>
    <row r="287" spans="2:9" ht="18" customHeight="1" x14ac:dyDescent="0.25">
      <c r="B287" s="555">
        <v>3</v>
      </c>
      <c r="C287" s="1615" t="s">
        <v>538</v>
      </c>
      <c r="D287" s="1615"/>
      <c r="E287" s="1615"/>
      <c r="F287" s="1615"/>
      <c r="G287" s="1615"/>
      <c r="H287" s="1616"/>
      <c r="I287" s="610" t="b">
        <v>0</v>
      </c>
    </row>
    <row r="288" spans="2:9" ht="18" customHeight="1" x14ac:dyDescent="0.25">
      <c r="B288" s="555">
        <v>4</v>
      </c>
      <c r="C288" s="1615" t="s">
        <v>539</v>
      </c>
      <c r="D288" s="1615"/>
      <c r="E288" s="1615"/>
      <c r="F288" s="1615"/>
      <c r="G288" s="1615"/>
      <c r="H288" s="1616"/>
      <c r="I288" s="610" t="b">
        <v>0</v>
      </c>
    </row>
    <row r="289" spans="2:9" ht="18" customHeight="1" x14ac:dyDescent="0.25">
      <c r="B289" s="1594">
        <v>5</v>
      </c>
      <c r="C289" s="1705" t="s">
        <v>551</v>
      </c>
      <c r="D289" s="1705"/>
      <c r="E289" s="1705"/>
      <c r="F289" s="1705"/>
      <c r="G289" s="1705"/>
      <c r="H289" s="1645"/>
      <c r="I289" s="610" t="b">
        <v>0</v>
      </c>
    </row>
    <row r="290" spans="2:9" ht="18" customHeight="1" x14ac:dyDescent="0.25">
      <c r="B290" s="1651"/>
      <c r="C290" s="1728" t="s">
        <v>552</v>
      </c>
      <c r="D290" s="1728"/>
      <c r="E290" s="1728"/>
      <c r="F290" s="1728"/>
      <c r="G290" s="1728"/>
      <c r="H290" s="1648"/>
      <c r="I290" s="610" t="b">
        <v>0</v>
      </c>
    </row>
    <row r="291" spans="2:9" ht="18" customHeight="1" x14ac:dyDescent="0.25">
      <c r="B291" s="556">
        <v>6</v>
      </c>
      <c r="C291" s="1617" t="s">
        <v>540</v>
      </c>
      <c r="D291" s="1617"/>
      <c r="E291" s="1617"/>
      <c r="F291" s="1617"/>
      <c r="G291" s="1617"/>
      <c r="H291" s="1638"/>
      <c r="I291" s="610" t="b">
        <v>0</v>
      </c>
    </row>
    <row r="292" spans="2:9" ht="18" customHeight="1" x14ac:dyDescent="0.25">
      <c r="B292" s="536"/>
      <c r="C292" s="547"/>
      <c r="D292" s="547"/>
      <c r="E292" s="547"/>
      <c r="F292" s="547"/>
      <c r="G292" s="547"/>
      <c r="H292" s="547"/>
      <c r="I292" s="547"/>
    </row>
    <row r="293" spans="2:9" ht="18" customHeight="1" x14ac:dyDescent="0.25">
      <c r="B293" s="541" t="s">
        <v>518</v>
      </c>
      <c r="C293" s="428" t="s">
        <v>519</v>
      </c>
      <c r="D293" s="548"/>
      <c r="E293" s="548"/>
      <c r="F293" s="548"/>
      <c r="G293" s="549"/>
      <c r="H293" s="549"/>
      <c r="I293" s="538" cm="1">
        <f t="array" ref="I293">SUM(--(I295:I320))</f>
        <v>0</v>
      </c>
    </row>
    <row r="294" spans="2:9" ht="18" customHeight="1" x14ac:dyDescent="0.25">
      <c r="B294" s="391"/>
      <c r="C294" s="540"/>
      <c r="D294" s="540"/>
      <c r="E294" s="540"/>
      <c r="F294" s="540"/>
      <c r="G294" s="540"/>
      <c r="H294" s="540"/>
      <c r="I294" s="540"/>
    </row>
    <row r="295" spans="2:9" ht="18" customHeight="1" x14ac:dyDescent="0.25">
      <c r="B295" s="551">
        <v>1</v>
      </c>
      <c r="C295" s="1653" t="s">
        <v>541</v>
      </c>
      <c r="D295" s="1653"/>
      <c r="E295" s="1653"/>
      <c r="F295" s="1653"/>
      <c r="G295" s="1653"/>
      <c r="H295" s="1654"/>
      <c r="I295" s="610" t="b">
        <v>0</v>
      </c>
    </row>
    <row r="296" spans="2:9" ht="18" customHeight="1" x14ac:dyDescent="0.25">
      <c r="B296" s="1594">
        <v>2</v>
      </c>
      <c r="C296" s="1705" t="s">
        <v>553</v>
      </c>
      <c r="D296" s="1705"/>
      <c r="E296" s="1705"/>
      <c r="F296" s="1705"/>
      <c r="G296" s="1705"/>
      <c r="H296" s="1645"/>
      <c r="I296" s="2020" t="b">
        <v>0</v>
      </c>
    </row>
    <row r="297" spans="2:9" ht="18" customHeight="1" x14ac:dyDescent="0.25">
      <c r="B297" s="1595"/>
      <c r="C297" s="1706" t="s">
        <v>604</v>
      </c>
      <c r="D297" s="1706"/>
      <c r="E297" s="1706"/>
      <c r="F297" s="1706"/>
      <c r="G297" s="1706"/>
      <c r="H297" s="2023"/>
      <c r="I297" s="2021"/>
    </row>
    <row r="298" spans="2:9" ht="18" customHeight="1" x14ac:dyDescent="0.25">
      <c r="B298"/>
      <c r="C298"/>
      <c r="D298"/>
      <c r="E298"/>
      <c r="F298"/>
      <c r="G298"/>
      <c r="H298"/>
      <c r="I298" s="612"/>
    </row>
    <row r="299" spans="2:9" ht="18" customHeight="1" x14ac:dyDescent="0.25">
      <c r="B299" s="551">
        <v>3</v>
      </c>
      <c r="C299" s="1653" t="s">
        <v>20</v>
      </c>
      <c r="D299" s="1653"/>
      <c r="E299" s="1653"/>
      <c r="F299" s="1653"/>
      <c r="G299" s="1653"/>
      <c r="H299" s="1654"/>
      <c r="I299" s="610" t="b">
        <v>0</v>
      </c>
    </row>
    <row r="300" spans="2:9" ht="18" customHeight="1" x14ac:dyDescent="0.25">
      <c r="B300" s="1594">
        <v>4</v>
      </c>
      <c r="C300" s="1645" t="s">
        <v>542</v>
      </c>
      <c r="D300" s="1646"/>
      <c r="E300" s="1646"/>
      <c r="F300" s="1646"/>
      <c r="G300" s="1646"/>
      <c r="H300" s="1646"/>
      <c r="I300" s="2020" t="b">
        <v>0</v>
      </c>
    </row>
    <row r="301" spans="2:9" ht="18" customHeight="1" x14ac:dyDescent="0.25">
      <c r="B301" s="1652"/>
      <c r="C301" s="1674"/>
      <c r="D301" s="1343"/>
      <c r="E301" s="1343"/>
      <c r="F301" s="1343"/>
      <c r="G301" s="1343"/>
      <c r="H301" s="1343"/>
      <c r="I301" s="2022"/>
    </row>
    <row r="302" spans="2:9" ht="18" customHeight="1" x14ac:dyDescent="0.25">
      <c r="B302" s="1652"/>
      <c r="C302" s="1674"/>
      <c r="D302" s="1343"/>
      <c r="E302" s="1343"/>
      <c r="F302" s="1343"/>
      <c r="G302" s="1343"/>
      <c r="H302" s="1343"/>
      <c r="I302" s="2022"/>
    </row>
    <row r="303" spans="2:9" ht="18" customHeight="1" x14ac:dyDescent="0.25">
      <c r="B303" s="1652"/>
      <c r="C303" s="1674"/>
      <c r="D303" s="1343"/>
      <c r="E303" s="1343"/>
      <c r="F303" s="1343"/>
      <c r="G303" s="1343"/>
      <c r="H303" s="1343"/>
      <c r="I303" s="2022"/>
    </row>
    <row r="304" spans="2:9" ht="18" customHeight="1" x14ac:dyDescent="0.25">
      <c r="B304" s="1651"/>
      <c r="C304" s="1648"/>
      <c r="D304" s="1649"/>
      <c r="E304" s="1649"/>
      <c r="F304" s="1649"/>
      <c r="G304" s="1649"/>
      <c r="H304" s="1649"/>
      <c r="I304" s="2021"/>
    </row>
    <row r="305" spans="2:9" ht="18" customHeight="1" x14ac:dyDescent="0.25">
      <c r="B305" s="556">
        <v>5</v>
      </c>
      <c r="C305" s="1617" t="s">
        <v>543</v>
      </c>
      <c r="D305" s="1617"/>
      <c r="E305" s="1617"/>
      <c r="F305" s="1617"/>
      <c r="G305" s="1617"/>
      <c r="H305" s="1638"/>
      <c r="I305" s="610" t="b">
        <v>0</v>
      </c>
    </row>
    <row r="306" spans="2:9" ht="18" customHeight="1" x14ac:dyDescent="0.25">
      <c r="B306"/>
      <c r="C306"/>
      <c r="D306"/>
      <c r="E306"/>
      <c r="F306"/>
      <c r="G306"/>
      <c r="H306"/>
    </row>
    <row r="307" spans="2:9" ht="18" customHeight="1" x14ac:dyDescent="0.25">
      <c r="B307" s="1684">
        <v>6</v>
      </c>
      <c r="C307" s="599"/>
      <c r="D307" s="600"/>
      <c r="E307" s="600"/>
      <c r="F307" s="600"/>
      <c r="G307" s="600"/>
      <c r="H307" s="600"/>
      <c r="I307" s="610" t="b">
        <v>0</v>
      </c>
    </row>
    <row r="308" spans="2:9" ht="18" customHeight="1" x14ac:dyDescent="0.25">
      <c r="B308" s="1652"/>
      <c r="C308" s="1674" t="s">
        <v>544</v>
      </c>
      <c r="D308" s="1343"/>
      <c r="E308" s="1343"/>
      <c r="F308" s="1343"/>
      <c r="G308" s="1343"/>
      <c r="H308" s="1343"/>
      <c r="I308" s="2020" t="b">
        <v>0</v>
      </c>
    </row>
    <row r="309" spans="2:9" ht="18" customHeight="1" x14ac:dyDescent="0.25">
      <c r="B309" s="1652"/>
      <c r="C309" s="1674"/>
      <c r="D309" s="1343"/>
      <c r="E309" s="1343"/>
      <c r="F309" s="1343"/>
      <c r="G309" s="1343"/>
      <c r="H309" s="1343"/>
      <c r="I309" s="2022"/>
    </row>
    <row r="310" spans="2:9" ht="18" customHeight="1" x14ac:dyDescent="0.25">
      <c r="B310" s="1651"/>
      <c r="C310" s="591"/>
      <c r="D310" s="592"/>
      <c r="E310" s="592"/>
      <c r="F310" s="592"/>
      <c r="G310" s="592"/>
      <c r="H310" s="592"/>
      <c r="I310" s="2021"/>
    </row>
    <row r="311" spans="2:9" ht="18" customHeight="1" x14ac:dyDescent="0.25">
      <c r="B311" s="1594">
        <v>7</v>
      </c>
      <c r="C311" s="1662" t="s">
        <v>610</v>
      </c>
      <c r="D311" s="1646"/>
      <c r="E311" s="1646"/>
      <c r="F311" s="1646"/>
      <c r="G311" s="1646"/>
      <c r="H311" s="1646"/>
      <c r="I311" s="2020" t="b">
        <v>0</v>
      </c>
    </row>
    <row r="312" spans="2:9" ht="18" customHeight="1" x14ac:dyDescent="0.25">
      <c r="B312" s="1651"/>
      <c r="C312" s="1648"/>
      <c r="D312" s="1649"/>
      <c r="E312" s="1649"/>
      <c r="F312" s="1649"/>
      <c r="G312" s="1649"/>
      <c r="H312" s="1649"/>
      <c r="I312" s="2021"/>
    </row>
    <row r="313" spans="2:9" ht="18" customHeight="1" x14ac:dyDescent="0.25">
      <c r="B313" s="1594">
        <v>8</v>
      </c>
      <c r="C313" s="1645" t="s">
        <v>545</v>
      </c>
      <c r="D313" s="1646"/>
      <c r="E313" s="1646"/>
      <c r="F313" s="1646"/>
      <c r="G313" s="1646"/>
      <c r="H313" s="590"/>
      <c r="I313" s="2020" t="b">
        <v>0</v>
      </c>
    </row>
    <row r="314" spans="2:9" ht="18" customHeight="1" x14ac:dyDescent="0.25">
      <c r="B314" s="1651"/>
      <c r="C314" s="1648"/>
      <c r="D314" s="1649"/>
      <c r="E314" s="1649"/>
      <c r="F314" s="1649"/>
      <c r="G314" s="1649"/>
      <c r="H314" s="592"/>
      <c r="I314" s="2021"/>
    </row>
    <row r="315" spans="2:9" ht="18" customHeight="1" x14ac:dyDescent="0.25">
      <c r="B315" s="555">
        <v>9</v>
      </c>
      <c r="C315" s="1615" t="s">
        <v>546</v>
      </c>
      <c r="D315" s="1615"/>
      <c r="E315" s="1615"/>
      <c r="F315" s="1615"/>
      <c r="G315" s="1615"/>
      <c r="H315" s="1616"/>
      <c r="I315" s="610" t="b">
        <v>0</v>
      </c>
    </row>
    <row r="316" spans="2:9" ht="18" customHeight="1" x14ac:dyDescent="0.25">
      <c r="B316" s="555">
        <v>10</v>
      </c>
      <c r="C316" s="1615" t="s">
        <v>547</v>
      </c>
      <c r="D316" s="1615"/>
      <c r="E316" s="1615"/>
      <c r="F316" s="1615"/>
      <c r="G316" s="1615"/>
      <c r="H316" s="1616"/>
      <c r="I316" s="610" t="b">
        <v>0</v>
      </c>
    </row>
    <row r="317" spans="2:9" ht="18" customHeight="1" x14ac:dyDescent="0.25">
      <c r="B317" s="580">
        <v>11</v>
      </c>
      <c r="C317" s="1705" t="s">
        <v>548</v>
      </c>
      <c r="D317" s="1705"/>
      <c r="E317" s="1705"/>
      <c r="F317" s="1705"/>
      <c r="G317" s="1705"/>
      <c r="H317" s="1645"/>
      <c r="I317" s="610" t="b">
        <v>0</v>
      </c>
    </row>
    <row r="318" spans="2:9" ht="18" customHeight="1" x14ac:dyDescent="0.25">
      <c r="B318" s="1637">
        <v>12</v>
      </c>
      <c r="C318" s="1615" t="s">
        <v>549</v>
      </c>
      <c r="D318" s="1615"/>
      <c r="E318" s="1615"/>
      <c r="F318" s="1615"/>
      <c r="G318" s="1616"/>
      <c r="H318" s="590"/>
      <c r="I318" s="2020" t="b">
        <v>0</v>
      </c>
    </row>
    <row r="319" spans="2:9" ht="18" customHeight="1" x14ac:dyDescent="0.25">
      <c r="B319" s="1637"/>
      <c r="C319" s="1615"/>
      <c r="D319" s="1615"/>
      <c r="E319" s="1615"/>
      <c r="F319" s="1615"/>
      <c r="G319" s="1616"/>
      <c r="H319" s="614"/>
      <c r="I319" s="2021"/>
    </row>
    <row r="320" spans="2:9" ht="18" customHeight="1" x14ac:dyDescent="0.25">
      <c r="B320" s="556">
        <v>13</v>
      </c>
      <c r="C320" s="1617" t="s">
        <v>550</v>
      </c>
      <c r="D320" s="1617"/>
      <c r="E320" s="1617"/>
      <c r="F320" s="1617"/>
      <c r="G320" s="1638"/>
      <c r="H320" s="611"/>
      <c r="I320" s="610" t="b">
        <v>0</v>
      </c>
    </row>
    <row r="324" spans="2:29" s="4" customFormat="1" ht="18" customHeight="1" x14ac:dyDescent="0.25">
      <c r="B324" s="66" t="s">
        <v>882</v>
      </c>
    </row>
    <row r="326" spans="2:29" ht="18" customHeight="1" x14ac:dyDescent="0.25">
      <c r="B326" s="1883" t="s">
        <v>862</v>
      </c>
      <c r="C326" s="1884"/>
      <c r="D326" s="78">
        <f>VA_ZUSAMMEN</f>
        <v>0</v>
      </c>
      <c r="F326" s="1883" t="s">
        <v>863</v>
      </c>
      <c r="G326" s="1884"/>
      <c r="H326" s="78">
        <f>VA_KOSTENANALYSE</f>
        <v>1</v>
      </c>
      <c r="R326" s="1875" t="s">
        <v>869</v>
      </c>
      <c r="S326" s="1876"/>
      <c r="T326" s="971" t="s">
        <v>879</v>
      </c>
      <c r="U326" s="954" t="s">
        <v>870</v>
      </c>
      <c r="V326" s="954" t="s">
        <v>887</v>
      </c>
      <c r="W326" s="973" t="s">
        <v>871</v>
      </c>
      <c r="X326" s="971" t="s">
        <v>880</v>
      </c>
      <c r="Y326" s="954" t="s">
        <v>872</v>
      </c>
      <c r="Z326" s="954" t="s">
        <v>888</v>
      </c>
      <c r="AA326" s="973" t="s">
        <v>873</v>
      </c>
      <c r="AB326"/>
      <c r="AC326"/>
    </row>
    <row r="327" spans="2:29" ht="18" customHeight="1" x14ac:dyDescent="0.25">
      <c r="B327" s="1"/>
      <c r="C327" s="1"/>
      <c r="D327" s="1"/>
      <c r="F327" s="1"/>
      <c r="G327" s="1"/>
      <c r="H327" s="1"/>
      <c r="R327" s="1875" t="s">
        <v>868</v>
      </c>
      <c r="S327" s="1876"/>
      <c r="T327" s="972">
        <f>ROUNDUP(
R342*K332+
R343*K333+
R344*K334+
R345*K335+
R347*K332+
R348*K333+
R349*K334+
R350*K335,0)</f>
        <v>0</v>
      </c>
      <c r="U327" s="955">
        <f>ROUNDUP(
S342*K332+
S343*K333+
S344*K334+
S345*K335,0)</f>
        <v>0</v>
      </c>
      <c r="V327" s="955">
        <f>ROUNDUP(S346*K336,0)</f>
        <v>0</v>
      </c>
      <c r="W327" s="974">
        <f>ROUNDUP((
T342*K332+
T343*K333+
T344*K334+
T345*K335)*K337,0)</f>
        <v>0</v>
      </c>
      <c r="X327" s="972">
        <f>ROUNDUP(
W342*K332+
W343*K333+
W344*K334+
W345*K335+
W347*K332+
W348*K333+
W349*K334+
W350*K335,0)</f>
        <v>0</v>
      </c>
      <c r="Y327" s="955">
        <f>ROUNDUP(
X342*K332+
X343*K333+
X344*K334+
X345*K335,0)</f>
        <v>0</v>
      </c>
      <c r="Z327" s="955">
        <f>ROUNDUP(X346*K336,0)</f>
        <v>0</v>
      </c>
      <c r="AA327" s="974">
        <f>ROUNDUP((
Y342*K332+
Y343*K333+
Y344*K334+
Y345*K335)*K337,0)</f>
        <v>0</v>
      </c>
      <c r="AB327"/>
      <c r="AC327"/>
    </row>
    <row r="328" spans="2:29" ht="18" customHeight="1" x14ac:dyDescent="0.25">
      <c r="B328" s="1883" t="s">
        <v>886</v>
      </c>
      <c r="C328" s="1884"/>
      <c r="D328" s="78">
        <f>VA_BESTANDSEINGABE</f>
        <v>0</v>
      </c>
      <c r="F328" s="1"/>
      <c r="G328" s="1"/>
      <c r="H328" s="1"/>
      <c r="R328" s="1875" t="s">
        <v>874</v>
      </c>
      <c r="S328" s="1876"/>
      <c r="T328" s="972">
        <f>ROUNDUP(
R342*K332+
R343*K333+
R344*K334+
R345*K335+
R351*K332,0)</f>
        <v>0</v>
      </c>
      <c r="U328" s="955">
        <f>ROUNDUP(
S342*K332+
S343*K333+
S344*K334+
S345*K335,0)</f>
        <v>0</v>
      </c>
      <c r="V328" s="3"/>
      <c r="W328" s="981"/>
      <c r="X328" s="972">
        <f>ROUNDUP(
W342*K332+
W343*K333+
W344*K334+
W345*K335+
W351*K332,0)</f>
        <v>0</v>
      </c>
      <c r="Y328" s="955">
        <f>ROUNDUP(
X342*K332+
X343*K333+
X344*K334+
X345*K335,0)</f>
        <v>0</v>
      </c>
      <c r="Z328" s="3"/>
      <c r="AA328" s="981"/>
      <c r="AB328"/>
      <c r="AC328"/>
    </row>
    <row r="329" spans="2:29" ht="18" customHeight="1" x14ac:dyDescent="0.25">
      <c r="B329" s="1"/>
      <c r="C329" s="1"/>
      <c r="D329" s="1"/>
      <c r="F329" s="1"/>
      <c r="G329" s="1"/>
      <c r="H329" s="1"/>
      <c r="R329" s="1875" t="s">
        <v>889</v>
      </c>
      <c r="S329" s="1876"/>
      <c r="T329" s="972">
        <f>ROUNDUP(
R342*K332+
R343*K333+
R344*K334+
R345*K335+
R351*K332,0)</f>
        <v>0</v>
      </c>
      <c r="U329" s="955">
        <f>ROUNDUP(
S342*K332+
S343*K333+
S344*K334+
S345*K335,0)</f>
        <v>0</v>
      </c>
      <c r="V329" s="955">
        <f>ROUNDUP(S346*K336,0)</f>
        <v>0</v>
      </c>
      <c r="W329" s="984">
        <f>ROUNDUP((
T342*K332+
T343*K333+
T344*K334+
T345*K335)*K337,0)</f>
        <v>0</v>
      </c>
      <c r="X329" s="985">
        <f>ROUNDUP(
W342*K332+
W343*K333+
W344*K334+
W345*K335+
W351*K332,0)</f>
        <v>0</v>
      </c>
      <c r="Y329" s="955">
        <f>ROUNDUP(
X342*K332+
X343*K333+
X344*K334+
X345*K335,0)</f>
        <v>0</v>
      </c>
      <c r="Z329" s="955">
        <f>ROUNDUP(X346*K336,0)</f>
        <v>0</v>
      </c>
      <c r="AA329" s="974">
        <f>ROUNDUP((
Y342*K332+
Y343*K333+
Y344*K334+
Y345*K335)*K337,0)</f>
        <v>0</v>
      </c>
      <c r="AB329"/>
      <c r="AC329"/>
    </row>
    <row r="330" spans="2:29" ht="18" customHeight="1" x14ac:dyDescent="0.25">
      <c r="R330" s="1875" t="s">
        <v>883</v>
      </c>
      <c r="S330" s="1876"/>
      <c r="T330" s="983"/>
      <c r="U330" s="983"/>
      <c r="V330" s="982"/>
      <c r="W330" s="974">
        <f>IF(U342&gt;0,1,0)</f>
        <v>0</v>
      </c>
      <c r="X330" s="983"/>
      <c r="Y330" s="983"/>
      <c r="Z330" s="982"/>
      <c r="AA330" s="974">
        <f>IF(Z342&gt;0,1,0)</f>
        <v>0</v>
      </c>
      <c r="AB330"/>
      <c r="AC330"/>
    </row>
    <row r="331" spans="2:29" ht="18" customHeight="1" x14ac:dyDescent="0.25">
      <c r="AB331"/>
      <c r="AC331"/>
    </row>
    <row r="332" spans="2:29" ht="18" customHeight="1" x14ac:dyDescent="0.25">
      <c r="B332" s="1289" t="s">
        <v>5</v>
      </c>
      <c r="C332" s="1289"/>
      <c r="D332" s="1291" t="s">
        <v>858</v>
      </c>
      <c r="E332" s="1291"/>
      <c r="F332" s="1291"/>
      <c r="G332" s="1291"/>
      <c r="H332" s="1291"/>
      <c r="I332" s="1291"/>
      <c r="J332" s="1291"/>
      <c r="K332" s="980">
        <f>1*1.2</f>
        <v>1.2</v>
      </c>
      <c r="L332" s="1886" t="s">
        <v>850</v>
      </c>
      <c r="M332" s="1290"/>
      <c r="N332" s="1294" t="s">
        <v>854</v>
      </c>
      <c r="O332" s="1294"/>
      <c r="P332" s="1294"/>
      <c r="Q332" s="1294"/>
      <c r="R332" s="1294"/>
      <c r="S332" s="1882"/>
      <c r="T332" s="1874"/>
      <c r="U332" s="1866">
        <f t="shared" ref="U332" si="24">ROUNDUP(4*SQRT(U327)*3,0)</f>
        <v>0</v>
      </c>
      <c r="V332" s="1866"/>
      <c r="W332" s="1867"/>
      <c r="X332" s="1868"/>
      <c r="Y332" s="1871">
        <f>ROUNDUP(4*SQRT(Y327)*3,0)</f>
        <v>0</v>
      </c>
      <c r="Z332" s="1871"/>
      <c r="AA332" s="2024"/>
      <c r="AB332"/>
      <c r="AC332"/>
    </row>
    <row r="333" spans="2:29" ht="18" customHeight="1" x14ac:dyDescent="0.25">
      <c r="B333" s="1289" t="s">
        <v>848</v>
      </c>
      <c r="C333" s="1289"/>
      <c r="D333" s="1291" t="s">
        <v>952</v>
      </c>
      <c r="E333" s="1291"/>
      <c r="F333" s="1291"/>
      <c r="G333" s="1291"/>
      <c r="H333" s="1291"/>
      <c r="I333" s="1291"/>
      <c r="J333" s="1291"/>
      <c r="K333" s="980">
        <v>1.2</v>
      </c>
      <c r="L333" s="1888"/>
      <c r="M333" s="1295"/>
      <c r="N333" s="1295" t="s">
        <v>855</v>
      </c>
      <c r="O333" s="1295"/>
      <c r="P333" s="1295"/>
      <c r="Q333" s="1295"/>
      <c r="R333" s="1295"/>
      <c r="S333" s="1889"/>
      <c r="T333" s="1874"/>
      <c r="U333" s="1866"/>
      <c r="V333" s="1866"/>
      <c r="W333" s="1867"/>
      <c r="X333" s="1869"/>
      <c r="Y333" s="1872"/>
      <c r="Z333" s="1872"/>
      <c r="AA333" s="2025"/>
      <c r="AB333"/>
      <c r="AC333"/>
    </row>
    <row r="334" spans="2:29" ht="18" customHeight="1" x14ac:dyDescent="0.25">
      <c r="B334" s="1289" t="s">
        <v>6</v>
      </c>
      <c r="C334" s="1289"/>
      <c r="D334" s="1291" t="s">
        <v>859</v>
      </c>
      <c r="E334" s="1291"/>
      <c r="F334" s="1291"/>
      <c r="G334" s="1291"/>
      <c r="H334" s="1291"/>
      <c r="I334" s="1291"/>
      <c r="J334" s="1291"/>
      <c r="K334" s="980">
        <f>0.75*1.25</f>
        <v>0.9375</v>
      </c>
      <c r="L334" s="1880"/>
      <c r="M334" s="1296"/>
      <c r="N334" s="1296" t="s">
        <v>857</v>
      </c>
      <c r="O334" s="1296"/>
      <c r="P334" s="1296"/>
      <c r="Q334" s="1296"/>
      <c r="R334" s="1296"/>
      <c r="S334" s="1881"/>
      <c r="T334" s="1874"/>
      <c r="U334" s="1866"/>
      <c r="V334" s="1866"/>
      <c r="W334" s="1867"/>
      <c r="X334" s="1870"/>
      <c r="Y334" s="1873"/>
      <c r="Z334" s="1873"/>
      <c r="AA334" s="2026"/>
      <c r="AB334"/>
      <c r="AC334"/>
    </row>
    <row r="335" spans="2:29" ht="18" customHeight="1" x14ac:dyDescent="0.25">
      <c r="B335" s="1289" t="s">
        <v>718</v>
      </c>
      <c r="C335" s="1289"/>
      <c r="D335" s="1291" t="s">
        <v>860</v>
      </c>
      <c r="E335" s="1291"/>
      <c r="F335" s="1291"/>
      <c r="G335" s="1291"/>
      <c r="H335" s="1291"/>
      <c r="I335" s="1291"/>
      <c r="J335" s="1291"/>
      <c r="K335" s="980">
        <f>2.5*1.25</f>
        <v>3.125</v>
      </c>
      <c r="L335" s="1886" t="s">
        <v>856</v>
      </c>
      <c r="M335" s="1290"/>
      <c r="N335" s="1294" t="s">
        <v>867</v>
      </c>
      <c r="O335" s="1294"/>
      <c r="P335" s="1294"/>
      <c r="Q335" s="1294"/>
      <c r="R335" s="1294"/>
      <c r="S335" s="1882"/>
      <c r="T335" s="1874"/>
      <c r="U335" s="1866">
        <f>ROUNDUP(U327/80,0)</f>
        <v>0</v>
      </c>
      <c r="V335" s="1866"/>
      <c r="W335" s="1867"/>
      <c r="X335" s="1868"/>
      <c r="Y335" s="1871">
        <f>ROUNDUP(Y327/80,0)</f>
        <v>0</v>
      </c>
      <c r="Z335" s="1871"/>
      <c r="AA335" s="2024"/>
      <c r="AB335"/>
      <c r="AC335"/>
    </row>
    <row r="336" spans="2:29" ht="18" customHeight="1" x14ac:dyDescent="0.25">
      <c r="B336" s="1289" t="s">
        <v>849</v>
      </c>
      <c r="C336" s="1289"/>
      <c r="D336" s="1291" t="s">
        <v>861</v>
      </c>
      <c r="E336" s="1291"/>
      <c r="F336" s="1291"/>
      <c r="G336" s="1291"/>
      <c r="H336" s="1291"/>
      <c r="I336" s="1291"/>
      <c r="J336" s="1291"/>
      <c r="K336" s="980">
        <f>2.5*1.2</f>
        <v>3</v>
      </c>
      <c r="L336" s="1887" t="s">
        <v>851</v>
      </c>
      <c r="M336" s="1297"/>
      <c r="N336" s="1296" t="s">
        <v>866</v>
      </c>
      <c r="O336" s="1296"/>
      <c r="P336" s="1296"/>
      <c r="Q336" s="1296"/>
      <c r="R336" s="1296"/>
      <c r="S336" s="1881"/>
      <c r="T336" s="1874"/>
      <c r="U336" s="1866"/>
      <c r="V336" s="1866"/>
      <c r="W336" s="1867"/>
      <c r="X336" s="1870"/>
      <c r="Y336" s="1873"/>
      <c r="Z336" s="1873"/>
      <c r="AA336" s="2026"/>
      <c r="AB336"/>
      <c r="AC336"/>
    </row>
    <row r="337" spans="2:29" ht="18" customHeight="1" x14ac:dyDescent="0.25">
      <c r="B337" s="1290" t="s">
        <v>15</v>
      </c>
      <c r="C337" s="1290"/>
      <c r="D337" s="1294" t="s">
        <v>954</v>
      </c>
      <c r="E337" s="1294"/>
      <c r="F337" s="1294"/>
      <c r="G337" s="1294"/>
      <c r="H337" s="1294"/>
      <c r="I337" s="1294"/>
      <c r="J337" s="1294"/>
      <c r="K337" s="1885">
        <f>1.25</f>
        <v>1.25</v>
      </c>
      <c r="L337" s="1888"/>
      <c r="M337" s="1295"/>
      <c r="N337" s="1294" t="s">
        <v>864</v>
      </c>
      <c r="O337" s="1294"/>
      <c r="P337" s="1294"/>
      <c r="Q337" s="1294"/>
      <c r="R337" s="1294"/>
      <c r="S337" s="1882"/>
      <c r="T337" s="1874"/>
      <c r="U337" s="1866"/>
      <c r="V337" s="1866"/>
      <c r="W337" s="1867">
        <f>IF(W330=1,2,0)</f>
        <v>0</v>
      </c>
      <c r="X337" s="1868"/>
      <c r="Y337" s="1871"/>
      <c r="Z337" s="1871"/>
      <c r="AA337" s="2024">
        <f>IF(AA330=1,2,0)</f>
        <v>0</v>
      </c>
      <c r="AB337"/>
      <c r="AC337"/>
    </row>
    <row r="338" spans="2:29" ht="18" customHeight="1" x14ac:dyDescent="0.25">
      <c r="B338" s="950"/>
      <c r="C338" s="951"/>
      <c r="D338" s="1296" t="s">
        <v>955</v>
      </c>
      <c r="E338" s="1296"/>
      <c r="F338" s="1296"/>
      <c r="G338" s="1296"/>
      <c r="H338" s="1296"/>
      <c r="I338" s="1296"/>
      <c r="J338" s="1296"/>
      <c r="K338" s="1885"/>
      <c r="L338" s="1880"/>
      <c r="M338" s="1296"/>
      <c r="N338" s="1296" t="s">
        <v>865</v>
      </c>
      <c r="O338" s="1296"/>
      <c r="P338" s="1296"/>
      <c r="Q338" s="1296"/>
      <c r="R338" s="1296"/>
      <c r="S338" s="1881"/>
      <c r="T338" s="1874"/>
      <c r="U338" s="1866"/>
      <c r="V338" s="1866"/>
      <c r="W338" s="1867"/>
      <c r="X338" s="1870"/>
      <c r="Y338" s="1873"/>
      <c r="Z338" s="1873"/>
      <c r="AA338" s="2026"/>
      <c r="AB338"/>
      <c r="AC338"/>
    </row>
    <row r="339" spans="2:29" ht="18" customHeight="1" x14ac:dyDescent="0.25">
      <c r="B339" s="953"/>
      <c r="C339" s="953"/>
      <c r="D339" s="953"/>
      <c r="E339" s="953"/>
      <c r="F339" s="953"/>
      <c r="G339" s="953"/>
      <c r="H339" s="953"/>
      <c r="I339" s="953"/>
      <c r="J339" s="953"/>
      <c r="K339" s="953"/>
      <c r="AA339"/>
      <c r="AB339"/>
      <c r="AC339"/>
    </row>
    <row r="340" spans="2:29" ht="18" customHeight="1" thickBot="1" x14ac:dyDescent="0.3">
      <c r="B340" s="707" t="s">
        <v>333</v>
      </c>
      <c r="C340" s="428" t="s">
        <v>636</v>
      </c>
      <c r="D340" s="234"/>
      <c r="E340" s="234"/>
      <c r="F340" s="234"/>
      <c r="G340" s="234"/>
      <c r="H340" s="234"/>
      <c r="I340" s="234"/>
      <c r="J340" s="234"/>
      <c r="K340" s="234"/>
      <c r="AA340"/>
      <c r="AB340"/>
      <c r="AC340"/>
    </row>
    <row r="341" spans="2:29" ht="18" customHeight="1" x14ac:dyDescent="0.25">
      <c r="B341" s="203"/>
      <c r="C341" s="203"/>
      <c r="D341" s="203"/>
      <c r="E341" s="203"/>
      <c r="F341" s="203"/>
      <c r="G341" s="203"/>
      <c r="H341" s="203"/>
      <c r="I341" s="203"/>
      <c r="J341" s="203"/>
      <c r="K341" s="203"/>
      <c r="M341" s="960"/>
      <c r="N341" s="961"/>
      <c r="O341" s="961"/>
      <c r="P341" s="961"/>
      <c r="Q341" s="183"/>
      <c r="R341" s="958" t="s">
        <v>881</v>
      </c>
      <c r="S341" s="958" t="s">
        <v>231</v>
      </c>
      <c r="T341" s="970" t="s">
        <v>232</v>
      </c>
      <c r="U341" s="856" t="s">
        <v>878</v>
      </c>
      <c r="V341" s="963"/>
      <c r="W341" s="958" t="s">
        <v>881</v>
      </c>
      <c r="X341" s="958" t="s">
        <v>231</v>
      </c>
      <c r="Y341" s="970" t="s">
        <v>232</v>
      </c>
      <c r="Z341" s="855" t="s">
        <v>878</v>
      </c>
      <c r="AA341"/>
      <c r="AB341"/>
      <c r="AC341"/>
    </row>
    <row r="342" spans="2:29" ht="18" customHeight="1" thickBot="1" x14ac:dyDescent="0.3">
      <c r="B342" s="462">
        <v>1</v>
      </c>
      <c r="C342" s="1404" t="s">
        <v>788</v>
      </c>
      <c r="D342" s="1405"/>
      <c r="E342" s="1405"/>
      <c r="F342" s="1405"/>
      <c r="G342" s="1405"/>
      <c r="H342" s="1405"/>
      <c r="I342" s="1405"/>
      <c r="J342" s="1405"/>
      <c r="K342" s="948">
        <f>IF(VA_KOSTENANALYSE=2,"- - - - - - -",(T327+U327+V327)+IF(OR(VA_BESTANDSEINGABE=1,VA_ZUSAMMEN=1),0,(X327+Y327+Z327)))</f>
        <v>0</v>
      </c>
      <c r="M342" s="1858" t="s">
        <v>5</v>
      </c>
      <c r="N342" s="1859"/>
      <c r="O342" s="1859" t="s">
        <v>876</v>
      </c>
      <c r="P342" s="1859"/>
      <c r="Q342" s="957"/>
      <c r="R342" s="956">
        <f>H71</f>
        <v>0</v>
      </c>
      <c r="S342" s="956">
        <f>J71</f>
        <v>0</v>
      </c>
      <c r="T342" s="53">
        <f>L71</f>
        <v>0</v>
      </c>
      <c r="U342" s="1860">
        <f>O77</f>
        <v>0</v>
      </c>
      <c r="V342" s="957"/>
      <c r="W342" s="956">
        <f>R71</f>
        <v>0</v>
      </c>
      <c r="X342" s="956">
        <f>T71</f>
        <v>0</v>
      </c>
      <c r="Y342" s="53">
        <f>V71</f>
        <v>0</v>
      </c>
      <c r="Z342" s="1863">
        <f>Q77</f>
        <v>0</v>
      </c>
      <c r="AA342"/>
      <c r="AB342"/>
      <c r="AC342"/>
    </row>
    <row r="343" spans="2:29" ht="18" customHeight="1" thickBot="1" x14ac:dyDescent="0.3">
      <c r="B343" s="466">
        <v>2</v>
      </c>
      <c r="C343" s="1385" t="s">
        <v>334</v>
      </c>
      <c r="D343" s="1386"/>
      <c r="E343" s="1386"/>
      <c r="F343" s="1386"/>
      <c r="G343" s="1386"/>
      <c r="H343" s="1386"/>
      <c r="I343" s="1386"/>
      <c r="J343" s="1386"/>
      <c r="K343" s="948">
        <f>IF(VA_KOSTENANALYSE=2,"- - - - - - -",(T328+U328)+IF(OR(VA_BESTANDSEINGABE=1,VA_ZUSAMMEN=1),0,(X328+Y328)))</f>
        <v>0</v>
      </c>
      <c r="M343" s="1858" t="s">
        <v>299</v>
      </c>
      <c r="N343" s="1859"/>
      <c r="O343" s="1859"/>
      <c r="P343" s="1859"/>
      <c r="Q343" s="957"/>
      <c r="R343" s="956">
        <f>H72</f>
        <v>0</v>
      </c>
      <c r="S343" s="956">
        <f>J72</f>
        <v>0</v>
      </c>
      <c r="T343" s="53">
        <f>L72</f>
        <v>0</v>
      </c>
      <c r="U343" s="1861"/>
      <c r="V343" s="957"/>
      <c r="W343" s="956">
        <f>R72</f>
        <v>0</v>
      </c>
      <c r="X343" s="956">
        <f>T72</f>
        <v>0</v>
      </c>
      <c r="Y343" s="53">
        <f>V72</f>
        <v>0</v>
      </c>
      <c r="Z343" s="1864"/>
      <c r="AA343"/>
      <c r="AB343"/>
      <c r="AC343"/>
    </row>
    <row r="344" spans="2:29" ht="18" customHeight="1" thickBot="1" x14ac:dyDescent="0.3">
      <c r="B344" s="463">
        <v>3</v>
      </c>
      <c r="C344" s="1560" t="s">
        <v>336</v>
      </c>
      <c r="D344" s="1561"/>
      <c r="E344" s="1561"/>
      <c r="F344" s="1561"/>
      <c r="G344" s="1561"/>
      <c r="H344" s="1561"/>
      <c r="I344" s="1561"/>
      <c r="J344" s="1561"/>
      <c r="K344" s="948">
        <f>IF(VA_KOSTENANALYSE=2,"- - - - - - -",U332+IF(OR(VA_BESTANDSEINGABE=1,VA_ZUSAMMEN=1),0,Y332))</f>
        <v>0</v>
      </c>
      <c r="M344" s="1858" t="s">
        <v>120</v>
      </c>
      <c r="N344" s="1859"/>
      <c r="O344" s="1859"/>
      <c r="P344" s="1859"/>
      <c r="Q344" s="957"/>
      <c r="R344" s="956">
        <f>H73</f>
        <v>0</v>
      </c>
      <c r="S344" s="956">
        <f>J73</f>
        <v>0</v>
      </c>
      <c r="T344" s="53">
        <f>L73</f>
        <v>0</v>
      </c>
      <c r="U344" s="1861"/>
      <c r="V344" s="957"/>
      <c r="W344" s="956">
        <f>R73</f>
        <v>0</v>
      </c>
      <c r="X344" s="956">
        <f>T73</f>
        <v>0</v>
      </c>
      <c r="Y344" s="53">
        <f>V73</f>
        <v>0</v>
      </c>
      <c r="Z344" s="1864"/>
      <c r="AA344"/>
      <c r="AB344"/>
      <c r="AC344"/>
    </row>
    <row r="345" spans="2:29" ht="18" customHeight="1" x14ac:dyDescent="0.25">
      <c r="B345" s="464">
        <v>4</v>
      </c>
      <c r="C345" s="1562" t="s">
        <v>337</v>
      </c>
      <c r="D345" s="1563"/>
      <c r="E345" s="1563"/>
      <c r="F345" s="1563"/>
      <c r="G345" s="1563"/>
      <c r="H345" s="1563"/>
      <c r="I345" s="1563"/>
      <c r="J345" s="1563"/>
      <c r="K345" s="952">
        <f>IF(VA_KOSTENANALYSE=2,"- - - - - - -",U335+IF(OR(VA_BESTANDSEINGABE=1,VA_ZUSAMMEN=1),0,Y335))</f>
        <v>0</v>
      </c>
      <c r="M345" s="1858" t="s">
        <v>718</v>
      </c>
      <c r="N345" s="1859"/>
      <c r="O345" s="1859"/>
      <c r="P345" s="1859"/>
      <c r="Q345" s="957"/>
      <c r="R345" s="956">
        <f>H74</f>
        <v>0</v>
      </c>
      <c r="S345" s="956">
        <f>J74</f>
        <v>0</v>
      </c>
      <c r="T345" s="53">
        <f>L74</f>
        <v>0</v>
      </c>
      <c r="U345" s="1862"/>
      <c r="V345" s="957"/>
      <c r="W345" s="956">
        <f>R74</f>
        <v>0</v>
      </c>
      <c r="X345" s="956">
        <f>T74</f>
        <v>0</v>
      </c>
      <c r="Y345" s="53">
        <f>V74</f>
        <v>0</v>
      </c>
      <c r="Z345" s="1865"/>
      <c r="AA345"/>
      <c r="AB345"/>
      <c r="AC345"/>
    </row>
    <row r="346" spans="2:29" ht="18" customHeight="1" x14ac:dyDescent="0.25">
      <c r="B346" s="237"/>
      <c r="C346" s="237"/>
      <c r="D346" s="237"/>
      <c r="E346" s="237"/>
      <c r="F346" s="237"/>
      <c r="G346" s="237"/>
      <c r="H346" s="237"/>
      <c r="I346" s="237"/>
      <c r="J346" s="237"/>
      <c r="K346" s="237"/>
      <c r="M346" s="1858" t="s">
        <v>228</v>
      </c>
      <c r="N346" s="1859"/>
      <c r="O346" s="1859"/>
      <c r="P346" s="1879"/>
      <c r="Q346" s="3"/>
      <c r="R346" s="934"/>
      <c r="S346" s="956">
        <f>J75</f>
        <v>0</v>
      </c>
      <c r="T346" s="964"/>
      <c r="U346" s="933"/>
      <c r="V346" s="3"/>
      <c r="W346" s="934"/>
      <c r="X346" s="956">
        <f>T75</f>
        <v>0</v>
      </c>
      <c r="Y346" s="964"/>
      <c r="Z346" s="968"/>
      <c r="AA346"/>
      <c r="AB346"/>
      <c r="AC346"/>
    </row>
    <row r="347" spans="2:29" ht="18" customHeight="1" x14ac:dyDescent="0.25">
      <c r="B347" s="707" t="s">
        <v>338</v>
      </c>
      <c r="C347" s="428" t="s">
        <v>339</v>
      </c>
      <c r="D347" s="234"/>
      <c r="E347" s="234"/>
      <c r="F347" s="234"/>
      <c r="G347" s="234"/>
      <c r="H347" s="234"/>
      <c r="I347" s="234"/>
      <c r="J347" s="234"/>
      <c r="K347" s="234"/>
      <c r="M347" s="1858" t="s">
        <v>5</v>
      </c>
      <c r="N347" s="1859"/>
      <c r="O347" s="1859" t="s">
        <v>877</v>
      </c>
      <c r="P347" s="1859"/>
      <c r="Q347" s="957"/>
      <c r="R347" s="956">
        <f>H76</f>
        <v>0</v>
      </c>
      <c r="S347" s="964"/>
      <c r="T347" s="134"/>
      <c r="U347" s="134"/>
      <c r="V347" s="48"/>
      <c r="W347" s="956">
        <f>R76</f>
        <v>0</v>
      </c>
      <c r="X347" s="964"/>
      <c r="Y347" s="134"/>
      <c r="Z347" s="135"/>
      <c r="AA347"/>
      <c r="AB347"/>
      <c r="AC347"/>
    </row>
    <row r="348" spans="2:29" ht="18" customHeight="1" x14ac:dyDescent="0.25">
      <c r="B348" s="203"/>
      <c r="C348" s="203"/>
      <c r="D348" s="203"/>
      <c r="E348" s="203"/>
      <c r="F348" s="203"/>
      <c r="G348" s="203"/>
      <c r="H348" s="203"/>
      <c r="I348" s="203"/>
      <c r="J348" s="203"/>
      <c r="K348" s="203"/>
      <c r="M348" s="1858" t="s">
        <v>299</v>
      </c>
      <c r="N348" s="1859"/>
      <c r="O348" s="1859"/>
      <c r="P348" s="1859"/>
      <c r="Q348" s="957"/>
      <c r="R348" s="956">
        <f>H77</f>
        <v>0</v>
      </c>
      <c r="S348" s="967"/>
      <c r="T348" s="134"/>
      <c r="U348" s="134"/>
      <c r="V348" s="48"/>
      <c r="W348" s="956">
        <f>R77</f>
        <v>0</v>
      </c>
      <c r="X348" s="967"/>
      <c r="Y348" s="134"/>
      <c r="Z348" s="135"/>
    </row>
    <row r="349" spans="2:29" ht="18" customHeight="1" x14ac:dyDescent="0.25">
      <c r="B349" s="465">
        <v>1</v>
      </c>
      <c r="C349" s="1564" t="s">
        <v>789</v>
      </c>
      <c r="D349" s="1565"/>
      <c r="E349" s="1565"/>
      <c r="F349" s="1565"/>
      <c r="G349" s="1565"/>
      <c r="H349" s="1565"/>
      <c r="I349" s="1565"/>
      <c r="J349" s="1565"/>
      <c r="K349" s="949">
        <f>IF(VA_KOSTENANALYSE=2,"- - - - - - -",W327+IF(OR(VA_BESTANDSEINGABE=1,VA_ZUSAMMEN=1),0,AA327))</f>
        <v>0</v>
      </c>
      <c r="M349" s="1858" t="s">
        <v>120</v>
      </c>
      <c r="N349" s="1859"/>
      <c r="O349" s="1859"/>
      <c r="P349" s="1859"/>
      <c r="Q349" s="957"/>
      <c r="R349" s="956">
        <f>H78</f>
        <v>0</v>
      </c>
      <c r="S349" s="967"/>
      <c r="T349" s="134"/>
      <c r="U349" s="134"/>
      <c r="V349" s="48"/>
      <c r="W349" s="956">
        <f>R78</f>
        <v>0</v>
      </c>
      <c r="X349" s="967"/>
      <c r="Y349" s="134"/>
      <c r="Z349" s="135"/>
    </row>
    <row r="350" spans="2:29" ht="18" customHeight="1" x14ac:dyDescent="0.25">
      <c r="B350" s="237"/>
      <c r="C350" s="237"/>
      <c r="D350" s="237"/>
      <c r="E350" s="237"/>
      <c r="F350" s="237"/>
      <c r="G350" s="237"/>
      <c r="H350" s="237"/>
      <c r="I350" s="237"/>
      <c r="J350" s="237"/>
      <c r="K350" s="438"/>
      <c r="M350" s="1858" t="s">
        <v>718</v>
      </c>
      <c r="N350" s="1859"/>
      <c r="O350" s="1859"/>
      <c r="P350" s="1859"/>
      <c r="Q350" s="957"/>
      <c r="R350" s="956">
        <f>H79</f>
        <v>0</v>
      </c>
      <c r="S350" s="967"/>
      <c r="T350" s="134"/>
      <c r="U350" s="134"/>
      <c r="V350" s="48"/>
      <c r="W350" s="956">
        <f>R79</f>
        <v>0</v>
      </c>
      <c r="X350" s="967"/>
      <c r="Y350" s="134"/>
      <c r="Z350" s="135"/>
    </row>
    <row r="351" spans="2:29" ht="18" customHeight="1" thickBot="1" x14ac:dyDescent="0.3">
      <c r="B351" s="707" t="s">
        <v>341</v>
      </c>
      <c r="C351" s="428" t="s">
        <v>342</v>
      </c>
      <c r="D351" s="234"/>
      <c r="E351" s="234"/>
      <c r="F351" s="234"/>
      <c r="G351" s="234"/>
      <c r="H351" s="234"/>
      <c r="I351" s="234"/>
      <c r="J351" s="234"/>
      <c r="K351" s="234"/>
      <c r="M351" s="1877" t="s">
        <v>875</v>
      </c>
      <c r="N351" s="1878"/>
      <c r="O351" s="1878" t="s">
        <v>876</v>
      </c>
      <c r="P351" s="1878"/>
      <c r="Q351" s="962"/>
      <c r="R351" s="959">
        <f>H80</f>
        <v>0</v>
      </c>
      <c r="S351" s="965"/>
      <c r="T351" s="966"/>
      <c r="U351" s="966"/>
      <c r="V351" s="91"/>
      <c r="W351" s="959">
        <f>R80</f>
        <v>0</v>
      </c>
      <c r="X351" s="965"/>
      <c r="Y351" s="966"/>
      <c r="Z351" s="969"/>
    </row>
    <row r="352" spans="2:29" ht="18" customHeight="1" x14ac:dyDescent="0.25">
      <c r="B352" s="203"/>
      <c r="C352" s="203"/>
      <c r="D352" s="203"/>
      <c r="E352" s="203"/>
      <c r="F352" s="203"/>
      <c r="G352" s="203"/>
      <c r="H352" s="203"/>
      <c r="I352" s="203"/>
      <c r="J352" s="203"/>
      <c r="K352" s="203"/>
    </row>
    <row r="353" spans="2:11" ht="18" customHeight="1" thickBot="1" x14ac:dyDescent="0.3">
      <c r="B353" s="462">
        <v>1</v>
      </c>
      <c r="C353" s="1380" t="s">
        <v>343</v>
      </c>
      <c r="D353" s="1381"/>
      <c r="E353" s="1381"/>
      <c r="F353" s="1381"/>
      <c r="G353" s="1381"/>
      <c r="H353" s="1381"/>
      <c r="I353" s="1381"/>
      <c r="J353" s="1381"/>
      <c r="K353" s="948">
        <f>IF(VA_KOSTENANALYSE=2,"- - - - - - -",U335+IF(OR(VA_BESTANDSEINGABE=1,VA_ZUSAMMEN=1),0,Y335))</f>
        <v>0</v>
      </c>
    </row>
    <row r="354" spans="2:11" ht="18" customHeight="1" thickBot="1" x14ac:dyDescent="0.3">
      <c r="B354" s="463">
        <v>2</v>
      </c>
      <c r="C354" s="1560" t="s">
        <v>344</v>
      </c>
      <c r="D354" s="1561"/>
      <c r="E354" s="1561"/>
      <c r="F354" s="1561"/>
      <c r="G354" s="1561"/>
      <c r="H354" s="1561"/>
      <c r="I354" s="1561"/>
      <c r="J354" s="1561"/>
      <c r="K354" s="948">
        <f>IF(VA_KOSTENANALYSE=2,"- - - - - - -",W337+IF(OR(VA_BESTANDSEINGABE=1,VA_ZUSAMMEN=1),0,AA337))</f>
        <v>0</v>
      </c>
    </row>
    <row r="355" spans="2:11" ht="18" customHeight="1" x14ac:dyDescent="0.25">
      <c r="B355" s="464">
        <v>3</v>
      </c>
      <c r="C355" s="1562" t="s">
        <v>345</v>
      </c>
      <c r="D355" s="1563"/>
      <c r="E355" s="1563"/>
      <c r="F355" s="1563"/>
      <c r="G355" s="1563"/>
      <c r="H355" s="1563"/>
      <c r="I355" s="1563"/>
      <c r="J355" s="1563"/>
      <c r="K355" s="952">
        <f>IF(VA_KOSTENANALYSE=2,"- - - - - - -",(T329+U329+V329+W329)+IF(OR(VA_BESTANDSEINGABE=1,VA_ZUSAMMEN=1),0,(X329+Y329+Z329+AA329)))</f>
        <v>0</v>
      </c>
    </row>
  </sheetData>
  <mergeCells count="321">
    <mergeCell ref="R329:S329"/>
    <mergeCell ref="AA332:AA334"/>
    <mergeCell ref="AA335:AA336"/>
    <mergeCell ref="AA337:AA338"/>
    <mergeCell ref="V332:V334"/>
    <mergeCell ref="V335:V336"/>
    <mergeCell ref="V337:V338"/>
    <mergeCell ref="Z332:Z334"/>
    <mergeCell ref="Z335:Z336"/>
    <mergeCell ref="Z337:Z338"/>
    <mergeCell ref="U337:U338"/>
    <mergeCell ref="W337:W338"/>
    <mergeCell ref="X337:X338"/>
    <mergeCell ref="Y337:Y338"/>
    <mergeCell ref="R330:S330"/>
    <mergeCell ref="C300:H304"/>
    <mergeCell ref="C287:H287"/>
    <mergeCell ref="C288:H288"/>
    <mergeCell ref="B289:B290"/>
    <mergeCell ref="C289:H289"/>
    <mergeCell ref="C290:H290"/>
    <mergeCell ref="C291:H291"/>
    <mergeCell ref="C295:H295"/>
    <mergeCell ref="C273:H273"/>
    <mergeCell ref="C274:H274"/>
    <mergeCell ref="C275:H275"/>
    <mergeCell ref="C279:H279"/>
    <mergeCell ref="C280:H280"/>
    <mergeCell ref="C284:H284"/>
    <mergeCell ref="B285:B286"/>
    <mergeCell ref="C285:H285"/>
    <mergeCell ref="C305:H305"/>
    <mergeCell ref="B318:B319"/>
    <mergeCell ref="C318:G319"/>
    <mergeCell ref="C320:G320"/>
    <mergeCell ref="I296:I297"/>
    <mergeCell ref="I300:I304"/>
    <mergeCell ref="I308:I310"/>
    <mergeCell ref="I311:I312"/>
    <mergeCell ref="I313:I314"/>
    <mergeCell ref="I318:I319"/>
    <mergeCell ref="B307:B310"/>
    <mergeCell ref="C308:H309"/>
    <mergeCell ref="B311:B312"/>
    <mergeCell ref="C311:H312"/>
    <mergeCell ref="B313:B314"/>
    <mergeCell ref="C313:G314"/>
    <mergeCell ref="C315:H315"/>
    <mergeCell ref="C316:H316"/>
    <mergeCell ref="C317:H317"/>
    <mergeCell ref="B296:B297"/>
    <mergeCell ref="C296:H296"/>
    <mergeCell ref="C297:H297"/>
    <mergeCell ref="C299:H299"/>
    <mergeCell ref="B300:B304"/>
    <mergeCell ref="U85:W85"/>
    <mergeCell ref="U87:W87"/>
    <mergeCell ref="B83:J83"/>
    <mergeCell ref="B84:J84"/>
    <mergeCell ref="B85:J85"/>
    <mergeCell ref="B87:J87"/>
    <mergeCell ref="K86:M86"/>
    <mergeCell ref="U86:W86"/>
    <mergeCell ref="C286:H286"/>
    <mergeCell ref="C255:H255"/>
    <mergeCell ref="C256:H256"/>
    <mergeCell ref="C260:H260"/>
    <mergeCell ref="C261:H261"/>
    <mergeCell ref="C265:H265"/>
    <mergeCell ref="C266:H266"/>
    <mergeCell ref="C267:H267"/>
    <mergeCell ref="C268:H268"/>
    <mergeCell ref="C272:H272"/>
    <mergeCell ref="C241:E241"/>
    <mergeCell ref="F241:H241"/>
    <mergeCell ref="I241:K241"/>
    <mergeCell ref="L241:N241"/>
    <mergeCell ref="O241:Q241"/>
    <mergeCell ref="C242:Q242"/>
    <mergeCell ref="C250:H250"/>
    <mergeCell ref="C251:H251"/>
    <mergeCell ref="C252:H252"/>
    <mergeCell ref="B253:B254"/>
    <mergeCell ref="C253:H254"/>
    <mergeCell ref="K83:M83"/>
    <mergeCell ref="K84:M84"/>
    <mergeCell ref="K85:M85"/>
    <mergeCell ref="K87:M87"/>
    <mergeCell ref="F61:G61"/>
    <mergeCell ref="H61:I61"/>
    <mergeCell ref="J61:K61"/>
    <mergeCell ref="L61:M61"/>
    <mergeCell ref="P61:Q61"/>
    <mergeCell ref="V61:W61"/>
    <mergeCell ref="H70:I70"/>
    <mergeCell ref="J70:K70"/>
    <mergeCell ref="L70:M70"/>
    <mergeCell ref="R70:S70"/>
    <mergeCell ref="T70:U70"/>
    <mergeCell ref="H66:I66"/>
    <mergeCell ref="J66:K66"/>
    <mergeCell ref="L66:M66"/>
    <mergeCell ref="F62:I62"/>
    <mergeCell ref="J62:M62"/>
    <mergeCell ref="P62:S62"/>
    <mergeCell ref="U7:V7"/>
    <mergeCell ref="S132:U132"/>
    <mergeCell ref="S131:U131"/>
    <mergeCell ref="D48:F48"/>
    <mergeCell ref="B48:C48"/>
    <mergeCell ref="T61:U61"/>
    <mergeCell ref="T60:U60"/>
    <mergeCell ref="P122:Q123"/>
    <mergeCell ref="U122:U123"/>
    <mergeCell ref="R127:U127"/>
    <mergeCell ref="R122:R123"/>
    <mergeCell ref="S122:S123"/>
    <mergeCell ref="T122:T123"/>
    <mergeCell ref="H71:I71"/>
    <mergeCell ref="J71:K71"/>
    <mergeCell ref="L71:M71"/>
    <mergeCell ref="R73:S73"/>
    <mergeCell ref="T73:U73"/>
    <mergeCell ref="H77:I77"/>
    <mergeCell ref="J77:K77"/>
    <mergeCell ref="L77:M77"/>
    <mergeCell ref="B82:G82"/>
    <mergeCell ref="R78:S78"/>
    <mergeCell ref="T78:U78"/>
    <mergeCell ref="F7:G7"/>
    <mergeCell ref="H7:I7"/>
    <mergeCell ref="J7:K7"/>
    <mergeCell ref="L7:M7"/>
    <mergeCell ref="N7:O7"/>
    <mergeCell ref="D15:E15"/>
    <mergeCell ref="F15:G15"/>
    <mergeCell ref="H15:I15"/>
    <mergeCell ref="D5:E5"/>
    <mergeCell ref="F5:G5"/>
    <mergeCell ref="H5:I5"/>
    <mergeCell ref="J5:K5"/>
    <mergeCell ref="U83:W83"/>
    <mergeCell ref="U84:W84"/>
    <mergeCell ref="B5:C5"/>
    <mergeCell ref="M5:N5"/>
    <mergeCell ref="Q41:S41"/>
    <mergeCell ref="T41:V41"/>
    <mergeCell ref="B41:C42"/>
    <mergeCell ref="D41:F41"/>
    <mergeCell ref="G41:I41"/>
    <mergeCell ref="J41:L41"/>
    <mergeCell ref="N41:P41"/>
    <mergeCell ref="N31:O31"/>
    <mergeCell ref="D23:E23"/>
    <mergeCell ref="F23:G23"/>
    <mergeCell ref="H23:I23"/>
    <mergeCell ref="J23:K23"/>
    <mergeCell ref="N23:O23"/>
    <mergeCell ref="D31:E31"/>
    <mergeCell ref="F31:G31"/>
    <mergeCell ref="L23:M23"/>
    <mergeCell ref="U5:V5"/>
    <mergeCell ref="P5:Q5"/>
    <mergeCell ref="N15:O15"/>
    <mergeCell ref="D7:E7"/>
    <mergeCell ref="V66:W66"/>
    <mergeCell ref="H31:I31"/>
    <mergeCell ref="J31:K31"/>
    <mergeCell ref="L31:M31"/>
    <mergeCell ref="J15:K15"/>
    <mergeCell ref="L15:M15"/>
    <mergeCell ref="R75:S75"/>
    <mergeCell ref="L80:M80"/>
    <mergeCell ref="H78:I78"/>
    <mergeCell ref="J78:K78"/>
    <mergeCell ref="O77:O79"/>
    <mergeCell ref="Q77:Q79"/>
    <mergeCell ref="V60:W60"/>
    <mergeCell ref="T77:U77"/>
    <mergeCell ref="R80:S80"/>
    <mergeCell ref="T80:U80"/>
    <mergeCell ref="V80:W80"/>
    <mergeCell ref="H80:I80"/>
    <mergeCell ref="J80:K80"/>
    <mergeCell ref="B70:G70"/>
    <mergeCell ref="U6:V6"/>
    <mergeCell ref="K128:U128"/>
    <mergeCell ref="C115:F115"/>
    <mergeCell ref="B54:C55"/>
    <mergeCell ref="D54:I54"/>
    <mergeCell ref="J54:M54"/>
    <mergeCell ref="N54:S54"/>
    <mergeCell ref="F60:G60"/>
    <mergeCell ref="H60:I60"/>
    <mergeCell ref="J60:K60"/>
    <mergeCell ref="L60:M60"/>
    <mergeCell ref="P60:Q60"/>
    <mergeCell ref="R60:S60"/>
    <mergeCell ref="R61:S61"/>
    <mergeCell ref="B67:G67"/>
    <mergeCell ref="B68:G68"/>
    <mergeCell ref="T54:W54"/>
    <mergeCell ref="K127:L127"/>
    <mergeCell ref="N127:Q127"/>
    <mergeCell ref="K125:L125"/>
    <mergeCell ref="N124:P124"/>
    <mergeCell ref="N125:P125"/>
    <mergeCell ref="N126:P126"/>
    <mergeCell ref="D71:G74"/>
    <mergeCell ref="D76:G79"/>
    <mergeCell ref="H74:I74"/>
    <mergeCell ref="J74:K74"/>
    <mergeCell ref="L74:M74"/>
    <mergeCell ref="R74:S74"/>
    <mergeCell ref="T74:U74"/>
    <mergeCell ref="V74:W74"/>
    <mergeCell ref="H79:I79"/>
    <mergeCell ref="R79:S79"/>
    <mergeCell ref="H73:I73"/>
    <mergeCell ref="J73:K73"/>
    <mergeCell ref="L73:M73"/>
    <mergeCell ref="R72:S72"/>
    <mergeCell ref="T72:U72"/>
    <mergeCell ref="V72:W72"/>
    <mergeCell ref="L76:M76"/>
    <mergeCell ref="V78:W78"/>
    <mergeCell ref="T71:U71"/>
    <mergeCell ref="V71:W71"/>
    <mergeCell ref="T62:W62"/>
    <mergeCell ref="B66:G66"/>
    <mergeCell ref="R66:S66"/>
    <mergeCell ref="T66:U66"/>
    <mergeCell ref="B64:E64"/>
    <mergeCell ref="V70:W70"/>
    <mergeCell ref="R71:S71"/>
    <mergeCell ref="L78:M78"/>
    <mergeCell ref="H75:I75"/>
    <mergeCell ref="J75:K75"/>
    <mergeCell ref="H72:I72"/>
    <mergeCell ref="J72:K72"/>
    <mergeCell ref="L72:M72"/>
    <mergeCell ref="R77:S77"/>
    <mergeCell ref="V77:W77"/>
    <mergeCell ref="V73:W73"/>
    <mergeCell ref="T75:U75"/>
    <mergeCell ref="V75:W75"/>
    <mergeCell ref="R76:S76"/>
    <mergeCell ref="T76:U76"/>
    <mergeCell ref="V76:W76"/>
    <mergeCell ref="L75:M75"/>
    <mergeCell ref="H76:I76"/>
    <mergeCell ref="J76:K76"/>
    <mergeCell ref="B326:C326"/>
    <mergeCell ref="F326:G326"/>
    <mergeCell ref="K337:K338"/>
    <mergeCell ref="T332:T334"/>
    <mergeCell ref="T335:T336"/>
    <mergeCell ref="C342:J342"/>
    <mergeCell ref="R326:S326"/>
    <mergeCell ref="R328:S328"/>
    <mergeCell ref="B328:C328"/>
    <mergeCell ref="B335:C335"/>
    <mergeCell ref="D335:J335"/>
    <mergeCell ref="L335:M335"/>
    <mergeCell ref="N335:S335"/>
    <mergeCell ref="B336:C336"/>
    <mergeCell ref="D336:J336"/>
    <mergeCell ref="L336:M336"/>
    <mergeCell ref="N336:S336"/>
    <mergeCell ref="B337:C337"/>
    <mergeCell ref="L337:M337"/>
    <mergeCell ref="N337:S337"/>
    <mergeCell ref="B332:C332"/>
    <mergeCell ref="D332:J332"/>
    <mergeCell ref="L332:M332"/>
    <mergeCell ref="L333:M333"/>
    <mergeCell ref="C349:J349"/>
    <mergeCell ref="C353:J353"/>
    <mergeCell ref="C354:J354"/>
    <mergeCell ref="C355:J355"/>
    <mergeCell ref="T337:T338"/>
    <mergeCell ref="R327:S327"/>
    <mergeCell ref="M345:N345"/>
    <mergeCell ref="M346:N346"/>
    <mergeCell ref="M347:N347"/>
    <mergeCell ref="M348:N348"/>
    <mergeCell ref="M349:N349"/>
    <mergeCell ref="M350:N350"/>
    <mergeCell ref="M351:N351"/>
    <mergeCell ref="O346:P346"/>
    <mergeCell ref="O351:P351"/>
    <mergeCell ref="O347:P350"/>
    <mergeCell ref="L338:M338"/>
    <mergeCell ref="N338:S338"/>
    <mergeCell ref="N332:S332"/>
    <mergeCell ref="B333:C333"/>
    <mergeCell ref="N333:S333"/>
    <mergeCell ref="B334:C334"/>
    <mergeCell ref="D334:J334"/>
    <mergeCell ref="L334:M334"/>
    <mergeCell ref="D333:J333"/>
    <mergeCell ref="D337:J337"/>
    <mergeCell ref="D338:J338"/>
    <mergeCell ref="M342:N342"/>
    <mergeCell ref="M343:N343"/>
    <mergeCell ref="M344:N344"/>
    <mergeCell ref="O342:P345"/>
    <mergeCell ref="U342:U345"/>
    <mergeCell ref="Z342:Z345"/>
    <mergeCell ref="U332:U334"/>
    <mergeCell ref="W332:W334"/>
    <mergeCell ref="X332:X334"/>
    <mergeCell ref="Y332:Y334"/>
    <mergeCell ref="U335:U336"/>
    <mergeCell ref="W335:W336"/>
    <mergeCell ref="X335:X336"/>
    <mergeCell ref="Y335:Y336"/>
    <mergeCell ref="C343:J343"/>
    <mergeCell ref="C344:J344"/>
    <mergeCell ref="C345:J345"/>
    <mergeCell ref="N334:S334"/>
  </mergeCells>
  <conditionalFormatting sqref="B83:J87">
    <cfRule type="expression" dxfId="138" priority="9">
      <formula>OR(VA_KOSTENANALYSE=0,AND(VA_KOSTENANALYSE=1,OR(VA_FEHLERMODUL&lt;&gt;0,VA_FEHLER_AB&lt;&gt;0,VA_FEHLER_C&lt;&gt;0,VA_FEHLER_CD=1)))</formula>
    </cfRule>
  </conditionalFormatting>
  <conditionalFormatting sqref="B287:H289 B248:H252 B299:H299 C297:H297 B291:H291 C290:H290 C286:H286 B300:C300 B305:H305 B311:C311 B255:H261 B253:C253 B307 C308 B313:C313 B315:H317 B320:C320 B318:C318 H318:H320 I248:I249 B264:H268 B271:H275 B278:H280 B283:H285 B294:H296 I257:I259 B262:I263 B269:I270 B276:I277 B281:I282 B292:I293">
    <cfRule type="expression" dxfId="137" priority="8">
      <formula>CELL("protect",B248)=0</formula>
    </cfRule>
  </conditionalFormatting>
  <conditionalFormatting sqref="I264">
    <cfRule type="expression" dxfId="136" priority="7">
      <formula>CELL("protect",I264)=0</formula>
    </cfRule>
  </conditionalFormatting>
  <conditionalFormatting sqref="I271">
    <cfRule type="expression" dxfId="135" priority="6">
      <formula>CELL("protect",I271)=0</formula>
    </cfRule>
  </conditionalFormatting>
  <conditionalFormatting sqref="I278">
    <cfRule type="expression" dxfId="134" priority="5">
      <formula>CELL("protect",I278)=0</formula>
    </cfRule>
  </conditionalFormatting>
  <conditionalFormatting sqref="I283">
    <cfRule type="expression" dxfId="133" priority="4">
      <formula>CELL("protect",I283)=0</formula>
    </cfRule>
  </conditionalFormatting>
  <conditionalFormatting sqref="I294">
    <cfRule type="expression" dxfId="132" priority="3">
      <formula>CELL("protect",I294)=0</formula>
    </cfRule>
  </conditionalFormatting>
  <conditionalFormatting sqref="A1:XFD1">
    <cfRule type="expression" dxfId="131" priority="2">
      <formula>V_ARBEIT=1</formula>
    </cfRule>
  </conditionalFormatting>
  <pageMargins left="0.70866141732283472" right="0.70866141732283472" top="3.5433070866141736" bottom="0.74803149606299213" header="0.59055118110236227" footer="0.31496062992125984"/>
  <pageSetup paperSize="9" orientation="portrait" horizontalDpi="1200" verticalDpi="1200" r:id="rId1"/>
  <headerFooter>
    <oddHeader>&amp;L&amp;18&amp;UTabellereiter: &amp;A&amp;"-,Bold"&amp;U
&amp;"-,Regular"&amp;U
&amp;"-,Bold"&amp;UDieser Tabellenreiter ist nicht für einen Ausdruck optimiert.</oddHeader>
    <oddFooter>&amp;R&amp;KA5A5A5&amp;"Calibri"&amp;6Druck am: &amp;D
Tabellenreiter: &amp;A
Version: 3.3 (28.04.2023)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95</vt:i4>
      </vt:variant>
    </vt:vector>
  </HeadingPairs>
  <TitlesOfParts>
    <vt:vector size="104" baseType="lpstr">
      <vt:lpstr>Startseite und Basisinfos</vt:lpstr>
      <vt:lpstr>Zählung Bestand</vt:lpstr>
      <vt:lpstr>A ▪ Bestandseingabe</vt:lpstr>
      <vt:lpstr>B ▪ Parametereingabe</vt:lpstr>
      <vt:lpstr>C ▪ Ergebnisjustierung</vt:lpstr>
      <vt:lpstr>D ▪ Kostenanalyse</vt:lpstr>
      <vt:lpstr>E ▪ Projektbeschreibung</vt:lpstr>
      <vt:lpstr>F ▪ Kurzbericht</vt:lpstr>
      <vt:lpstr>intern</vt:lpstr>
      <vt:lpstr>'A ▪ Bestandseingabe'!Print_Area</vt:lpstr>
      <vt:lpstr>'B ▪ Parametereingabe'!Print_Area</vt:lpstr>
      <vt:lpstr>'C ▪ Ergebnisjustierung'!Print_Area</vt:lpstr>
      <vt:lpstr>'D ▪ Kostenanalyse'!Print_Area</vt:lpstr>
      <vt:lpstr>'E ▪ Projektbeschreibung'!Print_Area</vt:lpstr>
      <vt:lpstr>'F ▪ Kurzbericht'!Print_Area</vt:lpstr>
      <vt:lpstr>intern!Print_Area</vt:lpstr>
      <vt:lpstr>'Startseite und Basisinfos'!Print_Area</vt:lpstr>
      <vt:lpstr>'Zählung Bestand'!Print_Area</vt:lpstr>
      <vt:lpstr>R_BESTANDSEINGABE</vt:lpstr>
      <vt:lpstr>R_KOSTENANALYSE</vt:lpstr>
      <vt:lpstr>R_TFAUSWAHL</vt:lpstr>
      <vt:lpstr>R_TFAUSWAHL_NUM</vt:lpstr>
      <vt:lpstr>R_UVB</vt:lpstr>
      <vt:lpstr>R_ZUSAMMEN</vt:lpstr>
      <vt:lpstr>TBS_1a</vt:lpstr>
      <vt:lpstr>TBS_1b</vt:lpstr>
      <vt:lpstr>TBS_2</vt:lpstr>
      <vt:lpstr>TBS_3a</vt:lpstr>
      <vt:lpstr>TBS_3b</vt:lpstr>
      <vt:lpstr>TBS_3c</vt:lpstr>
      <vt:lpstr>TBS_3d</vt:lpstr>
      <vt:lpstr>TBS_4</vt:lpstr>
      <vt:lpstr>TBS_F11</vt:lpstr>
      <vt:lpstr>TBS_F12</vt:lpstr>
      <vt:lpstr>TBS_F13</vt:lpstr>
      <vt:lpstr>TBS_F14</vt:lpstr>
      <vt:lpstr>TBS_F21</vt:lpstr>
      <vt:lpstr>TBS_F22</vt:lpstr>
      <vt:lpstr>TBS_F23</vt:lpstr>
      <vt:lpstr>TBS_F24</vt:lpstr>
      <vt:lpstr>TBS_F3a</vt:lpstr>
      <vt:lpstr>TBS_F3b</vt:lpstr>
      <vt:lpstr>TBS_FH</vt:lpstr>
      <vt:lpstr>TBS_FH_D</vt:lpstr>
      <vt:lpstr>V_ARBEIT</vt:lpstr>
      <vt:lpstr>V_FPH</vt:lpstr>
      <vt:lpstr>V_VER1</vt:lpstr>
      <vt:lpstr>V_VER2</vt:lpstr>
      <vt:lpstr>VA_BBGESAMT</vt:lpstr>
      <vt:lpstr>VA_BESTANDSEINGABE</vt:lpstr>
      <vt:lpstr>VA_FEHLER_AB</vt:lpstr>
      <vt:lpstr>VA_FEHLER_C</vt:lpstr>
      <vt:lpstr>VA_FEHLER_CD</vt:lpstr>
      <vt:lpstr>VA_FEHLER_D</vt:lpstr>
      <vt:lpstr>VA_FEHLERMODUL</vt:lpstr>
      <vt:lpstr>VA_KOSTENANALYSE</vt:lpstr>
      <vt:lpstr>VA_KOSTENANALYSE_2</vt:lpstr>
      <vt:lpstr>VA_TF</vt:lpstr>
      <vt:lpstr>VA_TFAUSWAHL</vt:lpstr>
      <vt:lpstr>VA_VERKEHRSSTATION</vt:lpstr>
      <vt:lpstr>VA_VERLEGUNG_1</vt:lpstr>
      <vt:lpstr>VA_VERLEGUNG_2</vt:lpstr>
      <vt:lpstr>VA_ZUGANG_1</vt:lpstr>
      <vt:lpstr>VA_ZUGANG_2</vt:lpstr>
      <vt:lpstr>VA_ZUSAMMEN</vt:lpstr>
      <vt:lpstr>VE_3_UVB</vt:lpstr>
      <vt:lpstr>VE_5_DIEBSTAHL</vt:lpstr>
      <vt:lpstr>VE_5_ENTGELTFREI</vt:lpstr>
      <vt:lpstr>VE_5_ERSTMALIGSICHER</vt:lpstr>
      <vt:lpstr>VE_5_PENDLER</vt:lpstr>
      <vt:lpstr>VE_BB_1</vt:lpstr>
      <vt:lpstr>VE_BB_2</vt:lpstr>
      <vt:lpstr>VE_BESTANDSEINGABE</vt:lpstr>
      <vt:lpstr>VE_KOSTENANALYSE</vt:lpstr>
      <vt:lpstr>VE_TFAUSWAHL</vt:lpstr>
      <vt:lpstr>VE_VERKEHRSSTATION</vt:lpstr>
      <vt:lpstr>VE_VERLEGUNG_1</vt:lpstr>
      <vt:lpstr>VE_VERLEGUNG_2</vt:lpstr>
      <vt:lpstr>VE_ZUGANG_1</vt:lpstr>
      <vt:lpstr>VE_ZUGANG_2</vt:lpstr>
      <vt:lpstr>VE_ZUSAMMEN</vt:lpstr>
      <vt:lpstr>VP_0_EAHEUTE</vt:lpstr>
      <vt:lpstr>VP_1_DBEA2040</vt:lpstr>
      <vt:lpstr>VP_2_RVEA</vt:lpstr>
      <vt:lpstr>VP_2_RVJAHR</vt:lpstr>
      <vt:lpstr>VP_2_RVTF</vt:lpstr>
      <vt:lpstr>VP_3_BVHEUTE</vt:lpstr>
      <vt:lpstr>VP_3_BVJAHR</vt:lpstr>
      <vt:lpstr>VP_3_BVTF</vt:lpstr>
      <vt:lpstr>VP_3_BVZUKUNFT</vt:lpstr>
      <vt:lpstr>VP_3_UVB</vt:lpstr>
      <vt:lpstr>VP_4_METF</vt:lpstr>
      <vt:lpstr>VP_5_DIEBSTAHL</vt:lpstr>
      <vt:lpstr>VP_5_ENTGELTFREI</vt:lpstr>
      <vt:lpstr>VP_5_ERSTMALIGSICHER</vt:lpstr>
      <vt:lpstr>VP_5_PENDLER</vt:lpstr>
      <vt:lpstr>VP_5_SICH_BESTAND_VORHANDEN</vt:lpstr>
      <vt:lpstr>Z_1</vt:lpstr>
      <vt:lpstr>Z_2</vt:lpstr>
      <vt:lpstr>Z_3</vt:lpstr>
      <vt:lpstr>Z_4</vt:lpstr>
      <vt:lpstr>Z_5</vt:lpstr>
      <vt:lpstr>Z_6</vt:lpstr>
      <vt:lpstr>Z_7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Planungstool Radparken</dc:title>
  <dc:creator>BahnStadt Planungsgesellschaft für Bahnhofsentwicklung mbH</dc:creator>
  <cp:lastModifiedBy>Lukas Benda</cp:lastModifiedBy>
  <cp:lastPrinted>2023-04-29T15:54:37Z</cp:lastPrinted>
  <dcterms:created xsi:type="dcterms:W3CDTF">2022-03-23T11:22:13Z</dcterms:created>
  <dcterms:modified xsi:type="dcterms:W3CDTF">2023-04-29T16:01:34Z</dcterms:modified>
</cp:coreProperties>
</file>